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Sheet1" sheetId="1" r:id="rId1"/>
  </sheets>
  <definedNames>
    <definedName name="_xlnm._FilterDatabase" localSheetId="0" hidden="1">Sheet1!$A$1:$X$363</definedName>
  </definedNames>
  <calcPr calcId="152511" concurrentCalc="0"/>
</workbook>
</file>

<file path=xl/calcChain.xml><?xml version="1.0" encoding="utf-8"?>
<calcChain xmlns="http://schemas.openxmlformats.org/spreadsheetml/2006/main">
  <c r="N159" i="1" l="1"/>
  <c r="S159" i="1"/>
  <c r="N160" i="1"/>
  <c r="S160" i="1"/>
  <c r="S363" i="1"/>
  <c r="N363" i="1"/>
  <c r="I363" i="1"/>
  <c r="S362" i="1"/>
  <c r="N362" i="1"/>
  <c r="I362" i="1"/>
  <c r="S361" i="1"/>
  <c r="N361" i="1"/>
  <c r="I361" i="1"/>
  <c r="S360" i="1"/>
  <c r="N360" i="1"/>
  <c r="I360" i="1"/>
  <c r="S359" i="1"/>
  <c r="N359" i="1"/>
  <c r="I359" i="1"/>
  <c r="S358" i="1"/>
  <c r="N358" i="1"/>
  <c r="I358" i="1"/>
  <c r="S357" i="1"/>
  <c r="N357" i="1"/>
  <c r="I357" i="1"/>
  <c r="S356" i="1"/>
  <c r="N356" i="1"/>
  <c r="I356" i="1"/>
  <c r="S355" i="1"/>
  <c r="N355" i="1"/>
  <c r="I355" i="1"/>
  <c r="S354" i="1"/>
  <c r="N354" i="1"/>
  <c r="I354" i="1"/>
  <c r="S353" i="1"/>
  <c r="N353" i="1"/>
  <c r="I353" i="1"/>
  <c r="S352" i="1"/>
  <c r="N352" i="1"/>
  <c r="I352" i="1"/>
  <c r="S351" i="1"/>
  <c r="N351" i="1"/>
  <c r="I351" i="1"/>
  <c r="S350" i="1"/>
  <c r="N350" i="1"/>
  <c r="I350" i="1"/>
  <c r="S349" i="1"/>
  <c r="N349" i="1"/>
  <c r="I349" i="1"/>
  <c r="S348" i="1"/>
  <c r="M348" i="1"/>
  <c r="N348" i="1"/>
  <c r="I348" i="1"/>
  <c r="S347" i="1"/>
  <c r="N347" i="1"/>
  <c r="I347" i="1"/>
  <c r="S346" i="1"/>
  <c r="N346" i="1"/>
  <c r="I346" i="1"/>
  <c r="S345" i="1"/>
  <c r="N345" i="1"/>
  <c r="I345" i="1"/>
  <c r="S344" i="1"/>
  <c r="N344" i="1"/>
  <c r="I344" i="1"/>
  <c r="S343" i="1"/>
  <c r="N343" i="1"/>
  <c r="I343" i="1"/>
  <c r="S342" i="1"/>
  <c r="N342" i="1"/>
  <c r="I342" i="1"/>
  <c r="S341" i="1"/>
  <c r="N341" i="1"/>
  <c r="I341" i="1"/>
  <c r="S340" i="1"/>
  <c r="N340" i="1"/>
  <c r="I340" i="1"/>
  <c r="S339" i="1"/>
  <c r="N339" i="1"/>
  <c r="I339" i="1"/>
  <c r="S338" i="1"/>
  <c r="N338" i="1"/>
  <c r="I338" i="1"/>
  <c r="S337" i="1"/>
  <c r="N337" i="1"/>
  <c r="I337" i="1"/>
  <c r="S336" i="1"/>
  <c r="N336" i="1"/>
  <c r="I336" i="1"/>
  <c r="S335" i="1"/>
  <c r="N335" i="1"/>
  <c r="I335" i="1"/>
  <c r="S334" i="1"/>
  <c r="N334" i="1"/>
  <c r="I334" i="1"/>
  <c r="S333" i="1"/>
  <c r="N333" i="1"/>
  <c r="I333" i="1"/>
  <c r="S332" i="1"/>
  <c r="N332" i="1"/>
  <c r="I332" i="1"/>
  <c r="S331" i="1"/>
  <c r="N331" i="1"/>
  <c r="I331" i="1"/>
  <c r="S330" i="1"/>
  <c r="N330" i="1"/>
  <c r="I330" i="1"/>
  <c r="S329" i="1"/>
  <c r="N329" i="1"/>
  <c r="I329" i="1"/>
  <c r="S328" i="1"/>
  <c r="N328" i="1"/>
  <c r="I328" i="1"/>
  <c r="S327" i="1"/>
  <c r="N327" i="1"/>
  <c r="I327" i="1"/>
  <c r="S326" i="1"/>
  <c r="N326" i="1"/>
  <c r="I326" i="1"/>
  <c r="S325" i="1"/>
  <c r="N325" i="1"/>
  <c r="I325" i="1"/>
  <c r="S324" i="1"/>
  <c r="N324" i="1"/>
  <c r="I324" i="1"/>
  <c r="S323" i="1"/>
  <c r="N323" i="1"/>
  <c r="I323" i="1"/>
  <c r="S322" i="1"/>
  <c r="M322" i="1"/>
  <c r="N322" i="1"/>
  <c r="I322" i="1"/>
  <c r="S321" i="1"/>
  <c r="N321" i="1"/>
  <c r="I321" i="1"/>
  <c r="S320" i="1"/>
  <c r="N320" i="1"/>
  <c r="I320" i="1"/>
  <c r="S319" i="1"/>
  <c r="N319" i="1"/>
  <c r="I319" i="1"/>
  <c r="S318" i="1"/>
  <c r="N318" i="1"/>
  <c r="I318" i="1"/>
  <c r="S317" i="1"/>
  <c r="N317" i="1"/>
  <c r="I317" i="1"/>
  <c r="S316" i="1"/>
  <c r="N316" i="1"/>
  <c r="I316" i="1"/>
  <c r="S315" i="1"/>
  <c r="N315" i="1"/>
  <c r="I315" i="1"/>
  <c r="S314" i="1"/>
  <c r="N314" i="1"/>
  <c r="I314" i="1"/>
  <c r="S313" i="1"/>
  <c r="N313" i="1"/>
  <c r="I313" i="1"/>
  <c r="S312" i="1"/>
  <c r="N312" i="1"/>
  <c r="I312" i="1"/>
  <c r="S311" i="1"/>
  <c r="N311" i="1"/>
  <c r="I311" i="1"/>
  <c r="S310" i="1"/>
  <c r="M310" i="1"/>
  <c r="N310" i="1"/>
  <c r="I310" i="1"/>
  <c r="S309" i="1"/>
  <c r="N309" i="1"/>
  <c r="I309" i="1"/>
  <c r="S308" i="1"/>
  <c r="N308" i="1"/>
  <c r="I308" i="1"/>
  <c r="S307" i="1"/>
  <c r="N307" i="1"/>
  <c r="I307" i="1"/>
  <c r="S306" i="1"/>
  <c r="N306" i="1"/>
  <c r="I306" i="1"/>
  <c r="S305" i="1"/>
  <c r="N305" i="1"/>
  <c r="I305" i="1"/>
  <c r="S304" i="1"/>
  <c r="N304" i="1"/>
  <c r="I304" i="1"/>
  <c r="S303" i="1"/>
  <c r="N303" i="1"/>
  <c r="I303" i="1"/>
  <c r="S302" i="1"/>
  <c r="M302" i="1"/>
  <c r="N302" i="1"/>
  <c r="I302" i="1"/>
  <c r="S301" i="1"/>
  <c r="M301" i="1"/>
  <c r="N301" i="1"/>
  <c r="I301" i="1"/>
  <c r="S300" i="1"/>
  <c r="M300" i="1"/>
  <c r="N300" i="1"/>
  <c r="I300" i="1"/>
  <c r="S299" i="1"/>
  <c r="N299" i="1"/>
  <c r="S298" i="1"/>
  <c r="N298" i="1"/>
  <c r="S297" i="1"/>
  <c r="N297" i="1"/>
  <c r="S296" i="1"/>
  <c r="N296" i="1"/>
  <c r="S295" i="1"/>
  <c r="N295" i="1"/>
  <c r="S294" i="1"/>
  <c r="N294" i="1"/>
  <c r="S293" i="1"/>
  <c r="N293" i="1"/>
  <c r="S292" i="1"/>
  <c r="N292" i="1"/>
  <c r="S291" i="1"/>
  <c r="N291" i="1"/>
  <c r="S290" i="1"/>
  <c r="N290" i="1"/>
  <c r="S289" i="1"/>
  <c r="N289" i="1"/>
  <c r="S267" i="1"/>
  <c r="N267" i="1"/>
  <c r="S288" i="1"/>
  <c r="N288" i="1"/>
  <c r="S287" i="1"/>
  <c r="N287" i="1"/>
  <c r="S286" i="1"/>
  <c r="N286" i="1"/>
  <c r="S285" i="1"/>
  <c r="N285" i="1"/>
  <c r="S284" i="1"/>
  <c r="N284" i="1"/>
  <c r="S283" i="1"/>
  <c r="N283" i="1"/>
  <c r="S282" i="1"/>
  <c r="N282" i="1"/>
  <c r="S280" i="1"/>
  <c r="N280" i="1"/>
  <c r="S279" i="1"/>
  <c r="N279" i="1"/>
  <c r="S278" i="1"/>
  <c r="N278" i="1"/>
  <c r="S277" i="1"/>
  <c r="N277" i="1"/>
  <c r="S276" i="1"/>
  <c r="N276" i="1"/>
  <c r="S275" i="1"/>
  <c r="N275" i="1"/>
  <c r="S274" i="1"/>
  <c r="N274" i="1"/>
  <c r="S273" i="1"/>
  <c r="N273" i="1"/>
  <c r="S272" i="1"/>
  <c r="N272" i="1"/>
  <c r="S281" i="1"/>
  <c r="N281" i="1"/>
  <c r="S271" i="1"/>
  <c r="N271" i="1"/>
  <c r="S270" i="1"/>
  <c r="M270" i="1"/>
  <c r="N270" i="1"/>
  <c r="S269" i="1"/>
  <c r="N269" i="1"/>
  <c r="S268" i="1"/>
  <c r="N268" i="1"/>
  <c r="S266" i="1"/>
  <c r="N266" i="1"/>
  <c r="S265" i="1"/>
  <c r="M265" i="1"/>
  <c r="N265" i="1"/>
  <c r="S264" i="1"/>
  <c r="M264" i="1"/>
  <c r="N264" i="1"/>
  <c r="S263" i="1"/>
  <c r="M263" i="1"/>
  <c r="N263" i="1"/>
  <c r="S262" i="1"/>
  <c r="M262" i="1"/>
  <c r="N262" i="1"/>
  <c r="S261" i="1"/>
  <c r="M261" i="1"/>
  <c r="N261" i="1"/>
  <c r="S260" i="1"/>
  <c r="N260" i="1"/>
  <c r="S259" i="1"/>
  <c r="M259" i="1"/>
  <c r="N259" i="1"/>
  <c r="S258" i="1"/>
  <c r="M258" i="1"/>
  <c r="N258" i="1"/>
  <c r="S257" i="1"/>
  <c r="M257" i="1"/>
  <c r="N257" i="1"/>
  <c r="S256" i="1"/>
  <c r="M256" i="1"/>
  <c r="N256" i="1"/>
  <c r="S255" i="1"/>
  <c r="N255" i="1"/>
  <c r="I255" i="1"/>
  <c r="S254" i="1"/>
  <c r="N254" i="1"/>
  <c r="I254" i="1"/>
  <c r="S253" i="1"/>
  <c r="N253" i="1"/>
  <c r="I253" i="1"/>
  <c r="S252" i="1"/>
  <c r="N252" i="1"/>
  <c r="I252" i="1"/>
  <c r="S251" i="1"/>
  <c r="N251" i="1"/>
  <c r="I251" i="1"/>
  <c r="S250" i="1"/>
  <c r="N250" i="1"/>
  <c r="I250" i="1"/>
  <c r="S249" i="1"/>
  <c r="N249" i="1"/>
  <c r="I249" i="1"/>
  <c r="S248" i="1"/>
  <c r="N248" i="1"/>
  <c r="I248" i="1"/>
  <c r="S247" i="1"/>
  <c r="N247" i="1"/>
  <c r="I247" i="1"/>
  <c r="S246" i="1"/>
  <c r="N246" i="1"/>
  <c r="I246" i="1"/>
  <c r="S245" i="1"/>
  <c r="N245" i="1"/>
  <c r="I245" i="1"/>
  <c r="S244" i="1"/>
  <c r="N244" i="1"/>
  <c r="I244" i="1"/>
  <c r="S243" i="1"/>
  <c r="N243" i="1"/>
  <c r="I243" i="1"/>
  <c r="S242" i="1"/>
  <c r="N242" i="1"/>
  <c r="I242" i="1"/>
  <c r="S241" i="1"/>
  <c r="N241" i="1"/>
  <c r="I241" i="1"/>
  <c r="S240" i="1"/>
  <c r="N240" i="1"/>
  <c r="I240" i="1"/>
  <c r="S239" i="1"/>
  <c r="N239" i="1"/>
  <c r="I239" i="1"/>
  <c r="S238" i="1"/>
  <c r="N238" i="1"/>
  <c r="I238" i="1"/>
  <c r="S237" i="1"/>
  <c r="N237" i="1"/>
  <c r="I237" i="1"/>
  <c r="S236" i="1"/>
  <c r="N236" i="1"/>
  <c r="I236" i="1"/>
  <c r="S235" i="1"/>
  <c r="N235" i="1"/>
  <c r="I235" i="1"/>
  <c r="S234" i="1"/>
  <c r="N234" i="1"/>
  <c r="I234" i="1"/>
  <c r="S233" i="1"/>
  <c r="N233" i="1"/>
  <c r="I233" i="1"/>
  <c r="S232" i="1"/>
  <c r="N232" i="1"/>
  <c r="I232" i="1"/>
  <c r="S231" i="1"/>
  <c r="N231" i="1"/>
  <c r="I231" i="1"/>
  <c r="S230" i="1"/>
  <c r="N230" i="1"/>
  <c r="I230" i="1"/>
  <c r="S229" i="1"/>
  <c r="N229" i="1"/>
  <c r="I229" i="1"/>
  <c r="S228" i="1"/>
  <c r="N228" i="1"/>
  <c r="I228" i="1"/>
  <c r="S227" i="1"/>
  <c r="N227" i="1"/>
  <c r="I227" i="1"/>
  <c r="S226" i="1"/>
  <c r="N226" i="1"/>
  <c r="I226" i="1"/>
  <c r="S225" i="1"/>
  <c r="N225" i="1"/>
  <c r="I225" i="1"/>
  <c r="S224" i="1"/>
  <c r="N224" i="1"/>
  <c r="I224" i="1"/>
  <c r="S223" i="1"/>
  <c r="N223" i="1"/>
  <c r="I223" i="1"/>
  <c r="S222" i="1"/>
  <c r="N222" i="1"/>
  <c r="I222" i="1"/>
  <c r="S221" i="1"/>
  <c r="N221" i="1"/>
  <c r="I221" i="1"/>
  <c r="S220" i="1"/>
  <c r="N220" i="1"/>
  <c r="I220" i="1"/>
  <c r="S219" i="1"/>
  <c r="N219" i="1"/>
  <c r="I219" i="1"/>
  <c r="S218" i="1"/>
  <c r="N218" i="1"/>
  <c r="I218" i="1"/>
  <c r="S217" i="1"/>
  <c r="N217" i="1"/>
  <c r="I217" i="1"/>
  <c r="S216" i="1"/>
  <c r="N216" i="1"/>
  <c r="I216" i="1"/>
  <c r="S215" i="1"/>
  <c r="N215" i="1"/>
  <c r="I215" i="1"/>
  <c r="S214" i="1"/>
  <c r="N214" i="1"/>
  <c r="I214" i="1"/>
  <c r="S213" i="1"/>
  <c r="N213" i="1"/>
  <c r="I213" i="1"/>
  <c r="S212" i="1"/>
  <c r="N212" i="1"/>
  <c r="I212" i="1"/>
  <c r="S211" i="1"/>
  <c r="N211" i="1"/>
  <c r="I211" i="1"/>
  <c r="S210" i="1"/>
  <c r="N210" i="1"/>
  <c r="I210" i="1"/>
  <c r="S209" i="1"/>
  <c r="N209" i="1"/>
  <c r="I209" i="1"/>
  <c r="S208" i="1"/>
  <c r="N208" i="1"/>
  <c r="I208" i="1"/>
  <c r="S207" i="1"/>
  <c r="N207" i="1"/>
  <c r="I207" i="1"/>
  <c r="S206" i="1"/>
  <c r="N206" i="1"/>
  <c r="I206" i="1"/>
  <c r="S205" i="1"/>
  <c r="N205" i="1"/>
  <c r="I205" i="1"/>
  <c r="S204" i="1"/>
  <c r="N204" i="1"/>
  <c r="I204" i="1"/>
  <c r="S203" i="1"/>
  <c r="N203" i="1"/>
  <c r="I203" i="1"/>
  <c r="S202" i="1"/>
  <c r="N202" i="1"/>
  <c r="I202" i="1"/>
  <c r="S201" i="1"/>
  <c r="N201" i="1"/>
  <c r="I201" i="1"/>
  <c r="S200" i="1"/>
  <c r="N200" i="1"/>
  <c r="I200" i="1"/>
  <c r="S199" i="1"/>
  <c r="N199" i="1"/>
  <c r="I199" i="1"/>
  <c r="S198" i="1"/>
  <c r="N198" i="1"/>
  <c r="I198" i="1"/>
  <c r="S197" i="1"/>
  <c r="N197" i="1"/>
  <c r="I197" i="1"/>
  <c r="S196" i="1"/>
  <c r="N196" i="1"/>
  <c r="I196" i="1"/>
  <c r="S195" i="1"/>
  <c r="N195" i="1"/>
  <c r="I195" i="1"/>
  <c r="S194" i="1"/>
  <c r="N194" i="1"/>
  <c r="I194" i="1"/>
  <c r="S193" i="1"/>
  <c r="N193" i="1"/>
  <c r="I193" i="1"/>
  <c r="S192" i="1"/>
  <c r="N192" i="1"/>
  <c r="I192" i="1"/>
  <c r="S191" i="1"/>
  <c r="N191" i="1"/>
  <c r="I191" i="1"/>
  <c r="S190" i="1"/>
  <c r="N190" i="1"/>
  <c r="I190" i="1"/>
  <c r="S189" i="1"/>
  <c r="N189" i="1"/>
  <c r="I189" i="1"/>
  <c r="S188" i="1"/>
  <c r="N188" i="1"/>
  <c r="I188" i="1"/>
  <c r="S187" i="1"/>
  <c r="N187" i="1"/>
  <c r="I187" i="1"/>
  <c r="S186" i="1"/>
  <c r="N186" i="1"/>
  <c r="I186" i="1"/>
  <c r="S185" i="1"/>
  <c r="N185" i="1"/>
  <c r="I185" i="1"/>
  <c r="S184" i="1"/>
  <c r="N184" i="1"/>
  <c r="I184" i="1"/>
  <c r="S183" i="1"/>
  <c r="N183" i="1"/>
  <c r="I183" i="1"/>
  <c r="S182" i="1"/>
  <c r="M182" i="1"/>
  <c r="N182" i="1"/>
  <c r="I182" i="1"/>
  <c r="S181" i="1"/>
  <c r="M181" i="1"/>
  <c r="N181" i="1"/>
  <c r="I181" i="1"/>
  <c r="S180" i="1"/>
  <c r="M180" i="1"/>
  <c r="N180" i="1"/>
  <c r="I180" i="1"/>
  <c r="S179" i="1"/>
  <c r="M179" i="1"/>
  <c r="N179" i="1"/>
  <c r="I179" i="1"/>
  <c r="S178" i="1"/>
  <c r="M178" i="1"/>
  <c r="N178" i="1"/>
  <c r="I178" i="1"/>
  <c r="S177" i="1"/>
  <c r="N177" i="1"/>
  <c r="S176" i="1"/>
  <c r="N176" i="1"/>
  <c r="S175" i="1"/>
  <c r="N175" i="1"/>
  <c r="S174" i="1"/>
  <c r="N174" i="1"/>
  <c r="S173" i="1"/>
  <c r="N173" i="1"/>
  <c r="S172" i="1"/>
  <c r="N172" i="1"/>
  <c r="S171" i="1"/>
  <c r="N171" i="1"/>
  <c r="S170" i="1"/>
  <c r="N170" i="1"/>
  <c r="S169" i="1"/>
  <c r="N169" i="1"/>
  <c r="S168" i="1"/>
  <c r="N168" i="1"/>
  <c r="S167" i="1"/>
  <c r="N167" i="1"/>
  <c r="S166" i="1"/>
  <c r="N166" i="1"/>
  <c r="S165" i="1"/>
  <c r="N165" i="1"/>
  <c r="S164" i="1"/>
  <c r="N164" i="1"/>
  <c r="S163" i="1"/>
  <c r="N163" i="1"/>
  <c r="S162" i="1"/>
  <c r="N162" i="1"/>
  <c r="S161" i="1"/>
  <c r="N161" i="1"/>
  <c r="S158" i="1"/>
  <c r="N158" i="1"/>
  <c r="S157" i="1"/>
  <c r="N157" i="1"/>
  <c r="S156" i="1"/>
  <c r="N156" i="1"/>
  <c r="S155" i="1"/>
  <c r="M155" i="1"/>
  <c r="N155" i="1"/>
  <c r="S154" i="1"/>
  <c r="M154" i="1"/>
  <c r="N154" i="1"/>
  <c r="S153" i="1"/>
  <c r="N153" i="1"/>
  <c r="S152" i="1"/>
  <c r="M152" i="1"/>
  <c r="N152" i="1"/>
  <c r="S151" i="1"/>
  <c r="M151" i="1"/>
  <c r="N151" i="1"/>
  <c r="S150" i="1"/>
  <c r="N150" i="1"/>
  <c r="S149" i="1"/>
  <c r="N149" i="1"/>
  <c r="S148" i="1"/>
  <c r="M148" i="1"/>
  <c r="N148" i="1"/>
  <c r="S147" i="1"/>
  <c r="M147" i="1"/>
  <c r="N147" i="1"/>
  <c r="S146" i="1"/>
  <c r="M146" i="1"/>
  <c r="N146" i="1"/>
  <c r="S145" i="1"/>
  <c r="M145" i="1"/>
  <c r="N145" i="1"/>
  <c r="S144" i="1"/>
  <c r="M144" i="1"/>
  <c r="N144" i="1"/>
  <c r="S143" i="1"/>
  <c r="M143" i="1"/>
  <c r="N143" i="1"/>
  <c r="S142" i="1"/>
  <c r="M142" i="1"/>
  <c r="N142" i="1"/>
  <c r="S141" i="1"/>
  <c r="M141" i="1"/>
  <c r="N141" i="1"/>
  <c r="S140" i="1"/>
  <c r="M140" i="1"/>
  <c r="N140" i="1"/>
  <c r="S139" i="1"/>
  <c r="M139" i="1"/>
  <c r="N139" i="1"/>
  <c r="S138" i="1"/>
  <c r="M138" i="1"/>
  <c r="N138" i="1"/>
  <c r="S137" i="1"/>
  <c r="M137" i="1"/>
  <c r="N137" i="1"/>
  <c r="S136" i="1"/>
  <c r="M136" i="1"/>
  <c r="N136" i="1"/>
  <c r="S135" i="1"/>
  <c r="M135" i="1"/>
  <c r="N135" i="1"/>
  <c r="S134" i="1"/>
  <c r="M134" i="1"/>
  <c r="N134" i="1"/>
  <c r="S133" i="1"/>
  <c r="M133" i="1"/>
  <c r="N133" i="1"/>
  <c r="S132" i="1"/>
  <c r="M132" i="1"/>
  <c r="N132" i="1"/>
  <c r="S131" i="1"/>
  <c r="M131" i="1"/>
  <c r="N131" i="1"/>
  <c r="S130" i="1"/>
  <c r="M130" i="1"/>
  <c r="N130" i="1"/>
  <c r="S129" i="1"/>
  <c r="M129" i="1"/>
  <c r="N129" i="1"/>
  <c r="S128" i="1"/>
  <c r="M128" i="1"/>
  <c r="N128" i="1"/>
  <c r="S127" i="1"/>
  <c r="M127" i="1"/>
  <c r="N127" i="1"/>
  <c r="S126" i="1"/>
  <c r="M126" i="1"/>
  <c r="N126" i="1"/>
  <c r="S125" i="1"/>
  <c r="M125" i="1"/>
  <c r="N125" i="1"/>
  <c r="S124" i="1"/>
  <c r="M124" i="1"/>
  <c r="N124" i="1"/>
  <c r="S123" i="1"/>
  <c r="M123" i="1"/>
  <c r="N123" i="1"/>
  <c r="S122" i="1"/>
  <c r="M122" i="1"/>
  <c r="N122" i="1"/>
  <c r="S121" i="1"/>
  <c r="N121" i="1"/>
  <c r="I121" i="1"/>
  <c r="S120" i="1"/>
  <c r="N120" i="1"/>
  <c r="I120" i="1"/>
  <c r="S119" i="1"/>
  <c r="N119" i="1"/>
  <c r="I119" i="1"/>
  <c r="S118" i="1"/>
  <c r="N118" i="1"/>
  <c r="I118" i="1"/>
  <c r="S117" i="1"/>
  <c r="N117" i="1"/>
  <c r="I117" i="1"/>
  <c r="S116" i="1"/>
  <c r="N116" i="1"/>
  <c r="I116" i="1"/>
  <c r="S115" i="1"/>
  <c r="N115" i="1"/>
  <c r="I115" i="1"/>
  <c r="S114" i="1"/>
  <c r="N114" i="1"/>
  <c r="I114" i="1"/>
  <c r="S113" i="1"/>
  <c r="N113" i="1"/>
  <c r="I113" i="1"/>
  <c r="S112" i="1"/>
  <c r="N112" i="1"/>
  <c r="I112" i="1"/>
  <c r="S111" i="1"/>
  <c r="N111" i="1"/>
  <c r="I111" i="1"/>
  <c r="S110" i="1"/>
  <c r="N110" i="1"/>
  <c r="I110" i="1"/>
  <c r="S109" i="1"/>
  <c r="N109" i="1"/>
  <c r="I109" i="1"/>
  <c r="S108" i="1"/>
  <c r="N108" i="1"/>
  <c r="I108" i="1"/>
  <c r="S107" i="1"/>
  <c r="N107" i="1"/>
  <c r="I107" i="1"/>
  <c r="S106" i="1"/>
  <c r="N106" i="1"/>
  <c r="I106" i="1"/>
  <c r="S105" i="1"/>
  <c r="N105" i="1"/>
  <c r="I105" i="1"/>
  <c r="S104" i="1"/>
  <c r="N104" i="1"/>
  <c r="I104" i="1"/>
  <c r="S103" i="1"/>
  <c r="N103" i="1"/>
  <c r="I103" i="1"/>
  <c r="S102" i="1"/>
  <c r="N102" i="1"/>
  <c r="I102" i="1"/>
  <c r="S101" i="1"/>
  <c r="N101" i="1"/>
  <c r="I101" i="1"/>
  <c r="S100" i="1"/>
  <c r="N100" i="1"/>
  <c r="I100" i="1"/>
  <c r="S99" i="1"/>
  <c r="N99" i="1"/>
  <c r="I99" i="1"/>
  <c r="S98" i="1"/>
  <c r="N98" i="1"/>
  <c r="I98" i="1"/>
  <c r="S97" i="1"/>
  <c r="N97" i="1"/>
  <c r="I97" i="1"/>
  <c r="S96" i="1"/>
  <c r="N96" i="1"/>
  <c r="I96" i="1"/>
  <c r="S95" i="1"/>
  <c r="N95" i="1"/>
  <c r="I95" i="1"/>
  <c r="S94" i="1"/>
  <c r="N94" i="1"/>
  <c r="I94" i="1"/>
  <c r="S93" i="1"/>
  <c r="N93" i="1"/>
  <c r="I93" i="1"/>
  <c r="S92" i="1"/>
  <c r="N92" i="1"/>
  <c r="I92" i="1"/>
  <c r="S91" i="1"/>
  <c r="N91" i="1"/>
  <c r="I91" i="1"/>
  <c r="S90" i="1"/>
  <c r="N90" i="1"/>
  <c r="I90" i="1"/>
  <c r="S89" i="1"/>
  <c r="N89" i="1"/>
  <c r="I89" i="1"/>
  <c r="S88" i="1"/>
  <c r="M88" i="1"/>
  <c r="N88" i="1"/>
  <c r="I88" i="1"/>
  <c r="S87" i="1"/>
  <c r="M87" i="1"/>
  <c r="N87" i="1"/>
  <c r="I87" i="1"/>
  <c r="S86" i="1"/>
  <c r="M86" i="1"/>
  <c r="N86" i="1"/>
  <c r="I86" i="1"/>
  <c r="S85" i="1"/>
  <c r="N85" i="1"/>
  <c r="S84" i="1"/>
  <c r="N84" i="1"/>
  <c r="S83" i="1"/>
  <c r="N83" i="1"/>
  <c r="S47" i="1"/>
  <c r="N47" i="1"/>
  <c r="S82" i="1"/>
  <c r="N82" i="1"/>
  <c r="S81" i="1"/>
  <c r="N81" i="1"/>
  <c r="S80" i="1"/>
  <c r="N80" i="1"/>
  <c r="S79" i="1"/>
  <c r="N79" i="1"/>
  <c r="S78" i="1"/>
  <c r="N78" i="1"/>
  <c r="S77" i="1"/>
  <c r="N77" i="1"/>
  <c r="S76" i="1"/>
  <c r="N76" i="1"/>
  <c r="S75" i="1"/>
  <c r="N75" i="1"/>
  <c r="S74" i="1"/>
  <c r="N74" i="1"/>
  <c r="S73" i="1"/>
  <c r="N73" i="1"/>
  <c r="S72" i="1"/>
  <c r="N72" i="1"/>
  <c r="S71" i="1"/>
  <c r="N71" i="1"/>
  <c r="S70" i="1"/>
  <c r="N70" i="1"/>
  <c r="S69" i="1"/>
  <c r="N69" i="1"/>
  <c r="S68" i="1"/>
  <c r="N68" i="1"/>
  <c r="S67" i="1"/>
  <c r="N67" i="1"/>
  <c r="S66" i="1"/>
  <c r="N66" i="1"/>
  <c r="S65" i="1"/>
  <c r="N65" i="1"/>
  <c r="S64" i="1"/>
  <c r="N64" i="1"/>
  <c r="S63" i="1"/>
  <c r="N63" i="1"/>
  <c r="S62" i="1"/>
  <c r="N62" i="1"/>
  <c r="S61" i="1"/>
  <c r="N61" i="1"/>
  <c r="S60" i="1"/>
  <c r="N60" i="1"/>
  <c r="S59" i="1"/>
  <c r="N59" i="1"/>
  <c r="S58" i="1"/>
  <c r="N58" i="1"/>
  <c r="S57" i="1"/>
  <c r="N57" i="1"/>
  <c r="S56" i="1"/>
  <c r="N56" i="1"/>
  <c r="S55" i="1"/>
  <c r="N55" i="1"/>
  <c r="S53" i="1"/>
  <c r="N53" i="1"/>
  <c r="S52" i="1"/>
  <c r="N52" i="1"/>
  <c r="S54" i="1"/>
  <c r="N54" i="1"/>
  <c r="S51" i="1"/>
  <c r="N51" i="1"/>
  <c r="S50" i="1"/>
  <c r="N50" i="1"/>
  <c r="S49" i="1"/>
  <c r="N49" i="1"/>
  <c r="S48" i="1"/>
  <c r="N48" i="1"/>
  <c r="S46" i="1"/>
  <c r="N46" i="1"/>
  <c r="S45" i="1"/>
  <c r="N45" i="1"/>
  <c r="S44" i="1"/>
  <c r="N44" i="1"/>
  <c r="S43" i="1"/>
  <c r="N43" i="1"/>
  <c r="S42" i="1"/>
  <c r="N42" i="1"/>
  <c r="S41" i="1"/>
  <c r="M41" i="1"/>
  <c r="N41" i="1"/>
  <c r="S40" i="1"/>
  <c r="M40" i="1"/>
  <c r="N40" i="1"/>
  <c r="S39" i="1"/>
  <c r="M39" i="1"/>
  <c r="N39" i="1"/>
  <c r="S38" i="1"/>
  <c r="M38" i="1"/>
  <c r="N38" i="1"/>
  <c r="S37" i="1"/>
  <c r="M37" i="1"/>
  <c r="N37" i="1"/>
  <c r="S36" i="1"/>
  <c r="M36" i="1"/>
  <c r="N36" i="1"/>
  <c r="S34" i="1"/>
  <c r="M34" i="1"/>
  <c r="N34" i="1"/>
  <c r="S35" i="1"/>
  <c r="M35" i="1"/>
  <c r="N35" i="1"/>
  <c r="S33" i="1"/>
  <c r="M33" i="1"/>
  <c r="N33" i="1"/>
  <c r="S32" i="1"/>
  <c r="M32" i="1"/>
  <c r="N32" i="1"/>
  <c r="S31" i="1"/>
  <c r="M31" i="1"/>
  <c r="N31" i="1"/>
  <c r="S30" i="1"/>
  <c r="M30" i="1"/>
  <c r="N30" i="1"/>
  <c r="S29" i="1"/>
  <c r="M29" i="1"/>
  <c r="N29" i="1"/>
  <c r="S28" i="1"/>
  <c r="M28" i="1"/>
  <c r="N28" i="1"/>
  <c r="S27" i="1"/>
  <c r="M27" i="1"/>
  <c r="N27" i="1"/>
  <c r="S26" i="1"/>
  <c r="M26" i="1"/>
  <c r="N26" i="1"/>
  <c r="S25" i="1"/>
  <c r="M25" i="1"/>
  <c r="N25" i="1"/>
  <c r="S24" i="1"/>
  <c r="M24" i="1"/>
  <c r="N24" i="1"/>
  <c r="S23" i="1"/>
  <c r="M23" i="1"/>
  <c r="N23" i="1"/>
  <c r="S22" i="1"/>
  <c r="M22" i="1"/>
  <c r="N22" i="1"/>
  <c r="S21" i="1"/>
  <c r="M21" i="1"/>
  <c r="N21" i="1"/>
  <c r="S20" i="1"/>
  <c r="M20" i="1"/>
  <c r="N20" i="1"/>
  <c r="S19" i="1"/>
  <c r="M19" i="1"/>
  <c r="N19" i="1"/>
  <c r="S18" i="1"/>
  <c r="M18" i="1"/>
  <c r="N18" i="1"/>
  <c r="S17" i="1"/>
  <c r="M17" i="1"/>
  <c r="N17" i="1"/>
  <c r="S16" i="1"/>
  <c r="M16" i="1"/>
  <c r="N16" i="1"/>
  <c r="S15" i="1"/>
  <c r="M15" i="1"/>
  <c r="N15" i="1"/>
  <c r="S14" i="1"/>
  <c r="M14" i="1"/>
  <c r="N14" i="1"/>
  <c r="S13" i="1"/>
  <c r="M13" i="1"/>
  <c r="N13" i="1"/>
  <c r="S12" i="1"/>
  <c r="M12" i="1"/>
  <c r="N12" i="1"/>
  <c r="S11" i="1"/>
  <c r="M11" i="1"/>
  <c r="N11" i="1"/>
  <c r="S10" i="1"/>
  <c r="M10" i="1"/>
  <c r="N10" i="1"/>
  <c r="S9" i="1"/>
  <c r="M9" i="1"/>
  <c r="N9" i="1"/>
  <c r="S8" i="1"/>
  <c r="M8" i="1"/>
  <c r="N8" i="1"/>
  <c r="S7" i="1"/>
  <c r="M7" i="1"/>
  <c r="N7" i="1"/>
  <c r="S6" i="1"/>
  <c r="M6" i="1"/>
  <c r="N6" i="1"/>
  <c r="S5" i="1"/>
  <c r="M5" i="1"/>
  <c r="N5" i="1"/>
  <c r="S4" i="1"/>
  <c r="M4" i="1"/>
  <c r="N4" i="1"/>
  <c r="S3" i="1"/>
  <c r="M3" i="1"/>
  <c r="N3" i="1"/>
  <c r="S2" i="1"/>
  <c r="M2" i="1"/>
  <c r="N2" i="1"/>
  <c r="U139" i="1"/>
  <c r="U30" i="1"/>
  <c r="U141" i="1"/>
  <c r="U14" i="1"/>
  <c r="U28" i="1"/>
  <c r="U32" i="1"/>
  <c r="U123" i="1"/>
  <c r="U127" i="1"/>
  <c r="U133" i="1"/>
  <c r="U145" i="1"/>
  <c r="U147" i="1"/>
  <c r="U151" i="1"/>
  <c r="U361" i="1"/>
  <c r="U280" i="1"/>
  <c r="U283" i="1"/>
  <c r="U285" i="1"/>
  <c r="U287" i="1"/>
  <c r="U290" i="1"/>
  <c r="U292" i="1"/>
  <c r="U296" i="1"/>
  <c r="U298" i="1"/>
  <c r="U266" i="1"/>
  <c r="U300" i="1"/>
  <c r="U301" i="1"/>
  <c r="U302" i="1"/>
  <c r="U334" i="1"/>
  <c r="U351" i="1"/>
  <c r="U359" i="1"/>
  <c r="U88" i="1"/>
  <c r="U196" i="1"/>
  <c r="U260" i="1"/>
  <c r="U281" i="1"/>
  <c r="U273" i="1"/>
  <c r="U275" i="1"/>
  <c r="U293" i="1"/>
  <c r="U297" i="1"/>
  <c r="U303" i="1"/>
  <c r="U311" i="1"/>
  <c r="U312" i="1"/>
  <c r="U315" i="1"/>
  <c r="U318" i="1"/>
  <c r="U319" i="1"/>
  <c r="U324" i="1"/>
  <c r="U327" i="1"/>
  <c r="U328" i="1"/>
  <c r="U331" i="1"/>
  <c r="U340" i="1"/>
  <c r="U344" i="1"/>
  <c r="U349" i="1"/>
  <c r="U360" i="1"/>
  <c r="U26" i="1"/>
  <c r="U36" i="1"/>
  <c r="U125" i="1"/>
  <c r="U129" i="1"/>
  <c r="U137" i="1"/>
  <c r="U154" i="1"/>
  <c r="U264" i="1"/>
  <c r="U4" i="1"/>
  <c r="U8" i="1"/>
  <c r="U24" i="1"/>
  <c r="U40" i="1"/>
  <c r="U50" i="1"/>
  <c r="U131" i="1"/>
  <c r="U135" i="1"/>
  <c r="U143" i="1"/>
  <c r="U208" i="1"/>
  <c r="U212" i="1"/>
  <c r="U216" i="1"/>
  <c r="U220" i="1"/>
  <c r="U265" i="1"/>
  <c r="U317" i="1"/>
  <c r="U321" i="1"/>
  <c r="U69" i="1"/>
  <c r="U201" i="1"/>
  <c r="U206" i="1"/>
  <c r="U210" i="1"/>
  <c r="U214" i="1"/>
  <c r="U253" i="1"/>
  <c r="U333" i="1"/>
  <c r="U335" i="1"/>
  <c r="U337" i="1"/>
  <c r="U343" i="1"/>
  <c r="U347" i="1"/>
  <c r="U348" i="1"/>
  <c r="U350" i="1"/>
  <c r="U43" i="1"/>
  <c r="U45" i="1"/>
  <c r="U48" i="1"/>
  <c r="U54" i="1"/>
  <c r="U53" i="1"/>
  <c r="U56" i="1"/>
  <c r="U58" i="1"/>
  <c r="U60" i="1"/>
  <c r="U62" i="1"/>
  <c r="U64" i="1"/>
  <c r="U66" i="1"/>
  <c r="U68" i="1"/>
  <c r="U70" i="1"/>
  <c r="U72" i="1"/>
  <c r="U74" i="1"/>
  <c r="U76" i="1"/>
  <c r="U78" i="1"/>
  <c r="U80" i="1"/>
  <c r="U82" i="1"/>
  <c r="U83" i="1"/>
  <c r="U85" i="1"/>
  <c r="U91" i="1"/>
  <c r="U95" i="1"/>
  <c r="U99" i="1"/>
  <c r="U103" i="1"/>
  <c r="U107" i="1"/>
  <c r="U111" i="1"/>
  <c r="U115" i="1"/>
  <c r="U119" i="1"/>
  <c r="U150" i="1"/>
  <c r="U153" i="1"/>
  <c r="U156" i="1"/>
  <c r="U158" i="1"/>
  <c r="U162" i="1"/>
  <c r="U164" i="1"/>
  <c r="U166" i="1"/>
  <c r="U168" i="1"/>
  <c r="U170" i="1"/>
  <c r="U172" i="1"/>
  <c r="U174" i="1"/>
  <c r="U176" i="1"/>
  <c r="U183" i="1"/>
  <c r="U199" i="1"/>
  <c r="U203" i="1"/>
  <c r="U223" i="1"/>
  <c r="U231" i="1"/>
  <c r="U258" i="1"/>
  <c r="U261" i="1"/>
  <c r="U269" i="1"/>
  <c r="U2" i="1"/>
  <c r="U6" i="1"/>
  <c r="U12" i="1"/>
  <c r="U38" i="1"/>
  <c r="U217" i="1"/>
  <c r="U42" i="1"/>
  <c r="U44" i="1"/>
  <c r="U46" i="1"/>
  <c r="U49" i="1"/>
  <c r="U51" i="1"/>
  <c r="U52" i="1"/>
  <c r="U55" i="1"/>
  <c r="U57" i="1"/>
  <c r="U59" i="1"/>
  <c r="U61" i="1"/>
  <c r="U63" i="1"/>
  <c r="U65" i="1"/>
  <c r="U67" i="1"/>
  <c r="U71" i="1"/>
  <c r="U73" i="1"/>
  <c r="U75" i="1"/>
  <c r="U77" i="1"/>
  <c r="U79" i="1"/>
  <c r="U81" i="1"/>
  <c r="U47" i="1"/>
  <c r="U84" i="1"/>
  <c r="U86" i="1"/>
  <c r="U97" i="1"/>
  <c r="U100" i="1"/>
  <c r="U101" i="1"/>
  <c r="U149" i="1"/>
  <c r="U157" i="1"/>
  <c r="U161" i="1"/>
  <c r="U163" i="1"/>
  <c r="U165" i="1"/>
  <c r="U167" i="1"/>
  <c r="U169" i="1"/>
  <c r="U171" i="1"/>
  <c r="U173" i="1"/>
  <c r="U175" i="1"/>
  <c r="U177" i="1"/>
  <c r="U181" i="1"/>
  <c r="U185" i="1"/>
  <c r="U189" i="1"/>
  <c r="U225" i="1"/>
  <c r="U229" i="1"/>
  <c r="U233" i="1"/>
  <c r="U237" i="1"/>
  <c r="U241" i="1"/>
  <c r="U245" i="1"/>
  <c r="U249" i="1"/>
  <c r="U10" i="1"/>
  <c r="U16" i="1"/>
  <c r="U18" i="1"/>
  <c r="U20" i="1"/>
  <c r="U22" i="1"/>
  <c r="U35" i="1"/>
  <c r="U257" i="1"/>
  <c r="U259" i="1"/>
  <c r="U277" i="1"/>
  <c r="U282" i="1"/>
  <c r="U284" i="1"/>
  <c r="U288" i="1"/>
  <c r="U15" i="1"/>
  <c r="U23" i="1"/>
  <c r="U33" i="1"/>
  <c r="U90" i="1"/>
  <c r="U94" i="1"/>
  <c r="U98" i="1"/>
  <c r="U106" i="1"/>
  <c r="U110" i="1"/>
  <c r="U114" i="1"/>
  <c r="U132" i="1"/>
  <c r="U140" i="1"/>
  <c r="U146" i="1"/>
  <c r="U152" i="1"/>
  <c r="U155" i="1"/>
  <c r="U178" i="1"/>
  <c r="U180" i="1"/>
  <c r="U190" i="1"/>
  <c r="U198" i="1"/>
  <c r="U202" i="1"/>
  <c r="U207" i="1"/>
  <c r="U211" i="1"/>
  <c r="U215" i="1"/>
  <c r="U219" i="1"/>
  <c r="U224" i="1"/>
  <c r="U228" i="1"/>
  <c r="U232" i="1"/>
  <c r="U236" i="1"/>
  <c r="U240" i="1"/>
  <c r="U242" i="1"/>
  <c r="U244" i="1"/>
  <c r="U246" i="1"/>
  <c r="U248" i="1"/>
  <c r="U252" i="1"/>
  <c r="U256" i="1"/>
  <c r="U270" i="1"/>
  <c r="U3" i="1"/>
  <c r="U7" i="1"/>
  <c r="U11" i="1"/>
  <c r="U19" i="1"/>
  <c r="U21" i="1"/>
  <c r="U27" i="1"/>
  <c r="U31" i="1"/>
  <c r="U34" i="1"/>
  <c r="U39" i="1"/>
  <c r="U102" i="1"/>
  <c r="U118" i="1"/>
  <c r="U120" i="1"/>
  <c r="U122" i="1"/>
  <c r="U126" i="1"/>
  <c r="U128" i="1"/>
  <c r="U130" i="1"/>
  <c r="U134" i="1"/>
  <c r="U138" i="1"/>
  <c r="U142" i="1"/>
  <c r="U179" i="1"/>
  <c r="U272" i="1"/>
  <c r="U274" i="1"/>
  <c r="U276" i="1"/>
  <c r="U313" i="1"/>
  <c r="U159" i="1"/>
  <c r="U186" i="1"/>
  <c r="U193" i="1"/>
  <c r="U194" i="1"/>
  <c r="U197" i="1"/>
  <c r="U255" i="1"/>
  <c r="U278" i="1"/>
  <c r="U267" i="1"/>
  <c r="U299" i="1"/>
  <c r="U305" i="1"/>
  <c r="U309" i="1"/>
  <c r="U314" i="1"/>
  <c r="U323" i="1"/>
  <c r="U339" i="1"/>
  <c r="U352" i="1"/>
  <c r="U356" i="1"/>
  <c r="U160" i="1"/>
  <c r="U13" i="1"/>
  <c r="U25" i="1"/>
  <c r="U37" i="1"/>
  <c r="U89" i="1"/>
  <c r="U93" i="1"/>
  <c r="U104" i="1"/>
  <c r="U105" i="1"/>
  <c r="U109" i="1"/>
  <c r="U113" i="1"/>
  <c r="U116" i="1"/>
  <c r="U117" i="1"/>
  <c r="U121" i="1"/>
  <c r="U148" i="1"/>
  <c r="U200" i="1"/>
  <c r="U205" i="1"/>
  <c r="U209" i="1"/>
  <c r="U213" i="1"/>
  <c r="U218" i="1"/>
  <c r="U221" i="1"/>
  <c r="U222" i="1"/>
  <c r="U226" i="1"/>
  <c r="U227" i="1"/>
  <c r="U230" i="1"/>
  <c r="U235" i="1"/>
  <c r="U239" i="1"/>
  <c r="U243" i="1"/>
  <c r="U247" i="1"/>
  <c r="U251" i="1"/>
  <c r="U268" i="1"/>
  <c r="U271" i="1"/>
  <c r="U279" i="1"/>
  <c r="U286" i="1"/>
  <c r="U289" i="1"/>
  <c r="U291" i="1"/>
  <c r="U294" i="1"/>
  <c r="U362" i="1"/>
  <c r="U363" i="1"/>
  <c r="U182" i="1"/>
  <c r="U184" i="1"/>
  <c r="U188" i="1"/>
  <c r="U192" i="1"/>
  <c r="U295" i="1"/>
  <c r="U306" i="1"/>
  <c r="U307" i="1"/>
  <c r="U310" i="1"/>
  <c r="U316" i="1"/>
  <c r="U320" i="1"/>
  <c r="U325" i="1"/>
  <c r="U329" i="1"/>
  <c r="U332" i="1"/>
  <c r="U336" i="1"/>
  <c r="U341" i="1"/>
  <c r="U345" i="1"/>
  <c r="U353" i="1"/>
  <c r="U354" i="1"/>
  <c r="U357" i="1"/>
  <c r="U358" i="1"/>
  <c r="U5" i="1"/>
  <c r="U9" i="1"/>
  <c r="U17" i="1"/>
  <c r="U29" i="1"/>
  <c r="U41" i="1"/>
  <c r="U87" i="1"/>
  <c r="U92" i="1"/>
  <c r="U96" i="1"/>
  <c r="U108" i="1"/>
  <c r="U112" i="1"/>
  <c r="U124" i="1"/>
  <c r="U136" i="1"/>
  <c r="U144" i="1"/>
  <c r="U204" i="1"/>
  <c r="U234" i="1"/>
  <c r="U238" i="1"/>
  <c r="U250" i="1"/>
  <c r="U254" i="1"/>
  <c r="U263" i="1"/>
  <c r="U187" i="1"/>
  <c r="U191" i="1"/>
  <c r="U195" i="1"/>
  <c r="U262" i="1"/>
  <c r="U304" i="1"/>
  <c r="U308" i="1"/>
  <c r="U322" i="1"/>
  <c r="U326" i="1"/>
  <c r="U330" i="1"/>
  <c r="U338" i="1"/>
  <c r="U342" i="1"/>
  <c r="U346" i="1"/>
  <c r="U355" i="1"/>
</calcChain>
</file>

<file path=xl/sharedStrings.xml><?xml version="1.0" encoding="utf-8"?>
<sst xmlns="http://schemas.openxmlformats.org/spreadsheetml/2006/main" count="3134" uniqueCount="1022">
  <si>
    <t>研究所</t>
  </si>
  <si>
    <t>奖学金类型</t>
    <phoneticPr fontId="3" type="noConversion"/>
  </si>
  <si>
    <t>学号</t>
  </si>
  <si>
    <t>姓名</t>
  </si>
  <si>
    <t>参评类型</t>
    <phoneticPr fontId="3" type="noConversion"/>
  </si>
  <si>
    <t>民族</t>
  </si>
  <si>
    <t>学年小结</t>
  </si>
  <si>
    <t>学位课成绩</t>
    <phoneticPr fontId="3" type="noConversion"/>
  </si>
  <si>
    <t>学位课成绩加权分</t>
  </si>
  <si>
    <t>是否毕业班</t>
  </si>
  <si>
    <t>有效论文类科研成果</t>
    <phoneticPr fontId="3" type="noConversion"/>
  </si>
  <si>
    <t>其他有效科研成果</t>
    <phoneticPr fontId="3" type="noConversion"/>
  </si>
  <si>
    <t>科研算分</t>
  </si>
  <si>
    <t>科研算分加权分</t>
  </si>
  <si>
    <t>社会工作</t>
    <phoneticPr fontId="3" type="noConversion"/>
  </si>
  <si>
    <t>社会工作加分</t>
    <phoneticPr fontId="3" type="noConversion"/>
  </si>
  <si>
    <t>社会公益、文体活动</t>
    <phoneticPr fontId="3" type="noConversion"/>
  </si>
  <si>
    <t>德导评价</t>
    <phoneticPr fontId="3" type="noConversion"/>
  </si>
  <si>
    <t>德导评价加权分</t>
  </si>
  <si>
    <t>推荐荣誉</t>
    <phoneticPr fontId="3" type="noConversion"/>
  </si>
  <si>
    <t>总分</t>
  </si>
  <si>
    <t>排序</t>
  </si>
  <si>
    <t>农药所</t>
  </si>
  <si>
    <t>国家奖学金</t>
  </si>
  <si>
    <t>韩令喜</t>
  </si>
  <si>
    <t>博士Ⅱ类</t>
  </si>
  <si>
    <t>汉</t>
  </si>
  <si>
    <t>已交</t>
  </si>
  <si>
    <t>是</t>
  </si>
  <si>
    <t>SCI3(1,IF=6.513,4.984;2,IF=5.291)</t>
  </si>
  <si>
    <t>2018年农学院博士生创新论坛墙报展</t>
  </si>
  <si>
    <t>优研、三好</t>
  </si>
  <si>
    <t>生物所</t>
  </si>
  <si>
    <t>唐广飞</t>
  </si>
  <si>
    <t>否</t>
  </si>
  <si>
    <t>SCI2(1,IF=6.957,4.964)</t>
  </si>
  <si>
    <t>2017浙江省植物病理年会口头报告二等奖；2018“问道启真，逐梦农生”口头报告二等奖。</t>
  </si>
  <si>
    <t>南都二等</t>
    <phoneticPr fontId="3" type="noConversion"/>
  </si>
  <si>
    <t>刘洪翠</t>
  </si>
  <si>
    <t>SCI2（1,IF=5.291,4.551）</t>
    <phoneticPr fontId="3" type="noConversion"/>
  </si>
  <si>
    <t>优研</t>
  </si>
  <si>
    <t>核农所</t>
  </si>
  <si>
    <t>庞悦涵</t>
  </si>
  <si>
    <t>校研究生艺术团成员</t>
  </si>
  <si>
    <t>参加2018年1月校跨年晚会演
出、2018年5月浙江大学舟山海洋文化节专场演出、2018年9月研究生开学典礼演出。</t>
  </si>
  <si>
    <t>王静</t>
  </si>
  <si>
    <t>SCI1(共1排2,IF=13.691)</t>
  </si>
  <si>
    <t>无</t>
  </si>
  <si>
    <t>杨咏曼奖学金</t>
    <phoneticPr fontId="3" type="noConversion"/>
  </si>
  <si>
    <t>李九龙</t>
  </si>
  <si>
    <t>SCI1(1,IF=5.154),公开发明专利3项(排名第二,导师第一)</t>
  </si>
  <si>
    <t>2016-2017学年，“全国核农学青年学术论坛”，二等奖；
校优秀研究生、三好研究生、社会实践先进个人；
2017-2018学年，入选 “浙江大学博士研究生学术新星培养计划”， 获“浙江大学2017年度十大学术进展最佳鉴赏奖”。积极参加“第十五次中国暨国际生物物理大会”、“ACS全球科技研讨会：材料科学前沿”、“浙江省原子能农学会2018年学术年会”并作学术报告。</t>
  </si>
  <si>
    <t>南都三等</t>
    <phoneticPr fontId="3" type="noConversion"/>
  </si>
  <si>
    <t>田忠玲</t>
  </si>
  <si>
    <t>SCI3(1,IF=3.469, 1.19,1.19)</t>
  </si>
  <si>
    <t xml:space="preserve">2017年参加浙大毅行；2018.8 参加第十四届全国线虫学术研讨会；
2018.9 参加第33届欧洲线虫学会学术研讨会。
</t>
  </si>
  <si>
    <t>光华奖学金</t>
    <phoneticPr fontId="3" type="noConversion"/>
  </si>
  <si>
    <t>朱学明</t>
  </si>
  <si>
    <t>SCI1(1,IF=5.462)</t>
  </si>
  <si>
    <t>茶叶所</t>
  </si>
  <si>
    <t>魏然</t>
  </si>
  <si>
    <t xml:space="preserve">是 </t>
  </si>
  <si>
    <t>SCI1(1,IF=3.685)</t>
  </si>
  <si>
    <t>编著1(1）;国际会议GTI Symposium口头报告1</t>
  </si>
  <si>
    <t>作为主要成员参与筹备The 3rd Global Tea Initiative Symposium；任美国加州大学戴维斯分校Global Tea Culture and Science (55651)课程助教</t>
  </si>
  <si>
    <t>侯佳音</t>
  </si>
  <si>
    <t>SCI1(1,IF=5.291)</t>
  </si>
  <si>
    <t>作物所</t>
  </si>
  <si>
    <t>黄璐</t>
  </si>
  <si>
    <t>SCI1(1,IF=4.234)</t>
  </si>
  <si>
    <t>国际会议电梯演讲</t>
  </si>
  <si>
    <t>杨勇</t>
  </si>
  <si>
    <t>SCI2(1,IF=4.95)</t>
  </si>
  <si>
    <t>蔬菜所</t>
  </si>
  <si>
    <t>刘浩然</t>
  </si>
  <si>
    <t>SCI1(1,IF=4.879)</t>
  </si>
  <si>
    <t>昆虫所</t>
  </si>
  <si>
    <t>王桂瑶</t>
  </si>
  <si>
    <t>SCI1(1,IF=4.609)</t>
  </si>
  <si>
    <t>党支部心理委员</t>
  </si>
  <si>
    <t>1.参加支部活动
2.第二届时政案例分析大赛“优秀奖”
3.国际毅行大会
4.参与上海松江植保站人员田间取样调查方法培训</t>
  </si>
  <si>
    <t>果树所</t>
  </si>
  <si>
    <t xml:space="preserve">朱楠 </t>
  </si>
  <si>
    <t>SCI1(1,IF=4.502)</t>
  </si>
  <si>
    <t>2016-2017学年获“天府汽车英才”奖学金；2016-2017学年获浙江大学“优秀研究生”荣誉称号；浙江大学农学院第三届“问道启真，逐梦农生”研究生学术节优秀墙报三等奖</t>
  </si>
  <si>
    <t>吴丽元</t>
  </si>
  <si>
    <t>SCI1(1，IF=4.257)</t>
  </si>
  <si>
    <t>李响</t>
  </si>
  <si>
    <t>SCI1(共1排1,IF=6.044)</t>
  </si>
  <si>
    <t>刘文星</t>
  </si>
  <si>
    <t>赵云</t>
  </si>
  <si>
    <t>SCI1(1,IF=4.354)</t>
  </si>
  <si>
    <t>2014-2015学年 优秀研究生、暑假期间在丽水市农科院进行了为期一个月的实习</t>
  </si>
  <si>
    <t>薛文华</t>
  </si>
  <si>
    <t>SCI1(1,IF=3.973)</t>
  </si>
  <si>
    <t>1.2017年参加浙江大学秋季毅行活动；
2.2017参加中国大学生马拉松联赛（浙江大学站）；
3.2018“农生剪影”科研摄影大赛，第二名
4.2018参加昆虫所“蔡邦华昆虫科学活动日”，文体活动一等奖</t>
  </si>
  <si>
    <t>鲁嘉宝</t>
  </si>
  <si>
    <t>王芝慧</t>
  </si>
  <si>
    <t>石萌</t>
  </si>
  <si>
    <t>SCI1（1，IF=3.268）</t>
    <phoneticPr fontId="3" type="noConversion"/>
  </si>
  <si>
    <t>尹传林</t>
  </si>
  <si>
    <t>SCI1(共1排1,IF=4.257)</t>
    <phoneticPr fontId="3" type="noConversion"/>
  </si>
  <si>
    <t>中国昆虫学会2017年学术年会报告“一等奖”；欧洲昆虫学会议POSTER</t>
  </si>
  <si>
    <t>周鹏勇</t>
  </si>
  <si>
    <t>2014级研究生班班长，目前在任</t>
  </si>
  <si>
    <t>1：参加2017.12蔡邦华活动日；2.参与2018年6月全国第十二届化学生态学学术研讨会，并做口头报告；3：参加2018.04年上虞国际马拉松；4：参加2018.06中国线上马拉松比赛5：参加农学院中韩水稻迁飞性害虫与病毒病监测治理技术研讨</t>
  </si>
  <si>
    <t>李春霖</t>
  </si>
  <si>
    <t>SCI1(1,IF=2.571)</t>
  </si>
  <si>
    <t xml:space="preserve">参加学院博士生论坛并获墙报展示三等奖
</t>
  </si>
  <si>
    <t>孙勋</t>
  </si>
  <si>
    <t>SCI1(共1排2,IF=4.354)</t>
  </si>
  <si>
    <t>参加“分子植物”期刊举办的“植物-环境互作“大会</t>
  </si>
  <si>
    <t>严涛</t>
  </si>
  <si>
    <t>党支部纪律委员</t>
  </si>
  <si>
    <t>2016.08赴贵州台江进行精准扶贫计划，入选“最具影响好项目”、“浙江省双百进活动十佳社会实践团队”</t>
  </si>
  <si>
    <t>陶瑞岩</t>
  </si>
  <si>
    <t>SCI1(共1排1,IF=3.460)</t>
  </si>
  <si>
    <t>2017.9-2018.3任果树所研究生第三党支部书记</t>
  </si>
  <si>
    <t>2016-2017学年优秀研究生干部</t>
  </si>
  <si>
    <t>83</t>
  </si>
  <si>
    <t>杨钦淞</t>
  </si>
  <si>
    <t>SCI1(共1排1,IF=3.217)</t>
  </si>
  <si>
    <t>果树所研究生第三党支部心理委员</t>
  </si>
  <si>
    <t xml:space="preserve">2016年12月获“优秀研究生”称号
2016年12月获“社会实践先进个人”称号
获得2016-2017年度博士生优秀岗位助学金
2017年11月30日参加无偿献血
2018年6月“农生杯”乒乓球比赛第四名
</t>
  </si>
  <si>
    <t>朱佳晨</t>
  </si>
  <si>
    <t>浙江大学-北海道大学联合学术研讨会poster</t>
  </si>
  <si>
    <t>王晓璇</t>
  </si>
  <si>
    <t>SCI2(1,IF=1.766)</t>
  </si>
  <si>
    <t>迟程</t>
  </si>
  <si>
    <t>SCI1(2,IF=6.151)</t>
  </si>
  <si>
    <t>蔬菜所研究生第二党支部组织委员兼纪律委员</t>
  </si>
  <si>
    <t>方萍萍</t>
  </si>
  <si>
    <t>1,农学院微书评活动 2浙江大学120周年校庆农学院志愿者,3第十届植物线粒体大会志愿者,4浙江精品果蔬展销会</t>
  </si>
  <si>
    <t>李卉梓</t>
  </si>
  <si>
    <t>浙江大学2018百名博士青岛行活动</t>
  </si>
  <si>
    <t>郭琦</t>
  </si>
  <si>
    <t>2017.11参加美国昆虫学大会并发表口头报告，2018.9参加国际烟粉虱研讨会并发表口头报告</t>
  </si>
  <si>
    <t>1.“农生杯”乒乓球比赛女单第一名；2.“农生杯”乒乓球比赛混双第一名</t>
  </si>
  <si>
    <t>梁爽</t>
  </si>
  <si>
    <t>SCI1(2,IF=5.462)</t>
  </si>
  <si>
    <t>邓冠聪</t>
  </si>
  <si>
    <t>SCI1(2,IF=5.525）</t>
  </si>
  <si>
    <t>2017暑期参加社会实践并获得社会实践先进个人</t>
  </si>
  <si>
    <t>潘蔡哲</t>
  </si>
  <si>
    <t>SCI1(共1排2,IF=2.986)</t>
  </si>
  <si>
    <t>蔡瑞杭</t>
  </si>
  <si>
    <t>2016.9-2018.2浙江大学学报英文版编辑部助理</t>
  </si>
  <si>
    <t>赵静</t>
  </si>
  <si>
    <t>2017.11参加美国昆虫学大会并发表口头报告</t>
  </si>
  <si>
    <t>2017学年春夏学期及2017-2018学年任浙江大学求是学院兼职辅导员</t>
  </si>
  <si>
    <t>1.2017年 ICIG&amp;IPBMB国际学术会议最佳志愿者</t>
  </si>
  <si>
    <t>马晓楠</t>
  </si>
  <si>
    <t>2017.9-2018.6负责课题组试剂耗材订购、入库、发票报销等公益工作；并参加农学院博士论坛。</t>
  </si>
  <si>
    <t>11516034</t>
  </si>
  <si>
    <t>张帆</t>
  </si>
  <si>
    <t>一级1（1）</t>
    <phoneticPr fontId="3" type="noConversion"/>
  </si>
  <si>
    <t>浙江大学华发茶艺队</t>
  </si>
  <si>
    <t>第四届中华茶奥会、中国茶叶博览会</t>
  </si>
  <si>
    <t>叶昕海</t>
  </si>
  <si>
    <t>2017-2018学，担任浙江大学第十六届博士生会副主席，分管新闻宣传与新媒体。</t>
  </si>
  <si>
    <t>1. 2018年8月，获中国昆虫学会2018年学术年会分组报告“一等奖”；2. 主办浙江大学第二十五届DMB登攀节及其子活动30余场、浙江大学博士生创新论坛20余场、2017年浙江大学优秀学生表彰大会、2018年研究生开学典礼等大型活动；3. 在公众号上发表原创科普文67篇；4. 参与社会实践，实践活动被浙江在线、都市快报、杭州网等媒体平台报道。</t>
  </si>
  <si>
    <t>优研、优干</t>
  </si>
  <si>
    <t>邹茹冰</t>
  </si>
  <si>
    <t>SCI1(2,IF=4.0)</t>
  </si>
  <si>
    <t>学院兼职辅导员</t>
  </si>
  <si>
    <t>2018年暑假赴美领导力培训交流等</t>
  </si>
  <si>
    <t>任传宏</t>
  </si>
  <si>
    <t>农学院职业发展中心成员</t>
  </si>
  <si>
    <t>沈艳</t>
  </si>
  <si>
    <t>求是学院兼职辅导员</t>
  </si>
  <si>
    <t>1.第九届IGSF“全国研究生奖学金信息会”英文广播志愿者（浙大仅4名）；2.参加“浙江省昆虫学年会”；3.农学院“新生合唱比赛”评委；4.被选为浙江广播电视台《全名大声唱》的演唱嘉宾；5.浙江大学第十六届“校园十佳歌手”称号；6. 浙江大学第十届“永谦之星校园歌手”亚军；7. 浙江大学第一届“农生环五大学部”十佳歌手冠军。8.被邀请为“微凉的秋弹唱会”、农学院、环资学院、经管学院新年晚会节目嘉宾。</t>
  </si>
  <si>
    <t>朱维卓</t>
  </si>
  <si>
    <t>党支部书记</t>
  </si>
  <si>
    <t>陈敏</t>
  </si>
  <si>
    <t>作物所第六党支部书记</t>
  </si>
  <si>
    <t>周东</t>
  </si>
  <si>
    <t>研究生心理互助会副主任</t>
  </si>
  <si>
    <t>任苧</t>
  </si>
  <si>
    <t>园林所</t>
  </si>
  <si>
    <t>林恬逸</t>
  </si>
  <si>
    <t>党委学工部部长助理/浙江大学茶艺队副队长/园林所学生负责人</t>
  </si>
  <si>
    <t xml:space="preserve">1.农学院第三届研究生学术节博士生创新论坛口头报告三等奖；
2.担任党委学工部部长助理，完成学校层面政策、文件36余份，累计20万余字；
3.作为负责人打造农学院“领鹰计划”农科人才素质提升工程；                                                                                                                                           
4.农学院第一届“十佳学子”；
5.2017第四届中华茶奥会创新茶艺竞技金奖；
6.2018中国茶叶博览会茶事服务；
机械学院生物材料国际会议茶事服务；
环太平洋图书馆联盟茶事服务；
第三届国际生物入侵大会茶事服务
</t>
  </si>
  <si>
    <t>胥南</t>
  </si>
  <si>
    <t>1.农学院研博会副主席；
2.浙大青年马克思主义学院九期骨干；
3.浙大紫领人才俱乐部八期骨干；
4.浙大第三期女大学生领导力提升班骨干</t>
  </si>
  <si>
    <t>7.2017年参加浙江大学秋季毅行活动；
8.2017参加第三届国际昆虫基因组大会和第六届国际昆虫生理生化大会；
9.2017参加中国昆虫学大会；
10.2018参加浙江大学赴海内外理论宣讲（海南团队，主要负责联系和宣讲工作）；</t>
  </si>
  <si>
    <t>陈佳妮</t>
  </si>
  <si>
    <t>昆虫所研究生第三党支部组织委员</t>
  </si>
  <si>
    <t xml:space="preserve">1、以第一作者发表的学术论文已于2018年8月被Scientific Reports杂志接收；
2、2018年8月21-24日前往四川成都参加了中国昆虫学会2018年学术年会；3、2017年10月21-22日前往上海复旦大学参加了中国果蝇生物学大会；
4、2018年7月组织开展并参与昆虫摄影大赛;            5、2018年6月参加了第一届进化生物学实验室乒乓球挑战赛，获得团体第一的成绩。                </t>
  </si>
  <si>
    <t>徐乐</t>
  </si>
  <si>
    <t>2016级硕博班班长</t>
  </si>
  <si>
    <t>浙江大学-东京大学联合学术研讨会进行的海报口头报告</t>
  </si>
  <si>
    <t>施云龙</t>
  </si>
  <si>
    <t>浙江大学茶艺队名誉队长，党支部组织委员（半年）</t>
  </si>
  <si>
    <t>2018敬老茶会志愿者，茶学系新年晚会志愿者，博士生报告团百场大讲堂，茶艺队各类公益活动</t>
  </si>
  <si>
    <t>王羽</t>
  </si>
  <si>
    <t>茶叶所研究生第一党支部书记</t>
  </si>
  <si>
    <t>张厚朴</t>
  </si>
  <si>
    <t>1.代表学院参加三好杯、农生环杯篮球赛；2.2018.07-08赴嘉兴农科院参加博士生暑期社会实践</t>
  </si>
  <si>
    <t>沈易</t>
  </si>
  <si>
    <t>博士生会报告团</t>
  </si>
  <si>
    <t>赴云南、吉林等地社会实践，获云南日报、人民网等报道</t>
  </si>
  <si>
    <t>王慧</t>
  </si>
  <si>
    <t xml:space="preserve"> </t>
  </si>
  <si>
    <t>浙江大学博士生会新闻宣传中心骨干成员，参与校博会各项活动的宣传与微信平台的新闻编辑推送工作</t>
  </si>
  <si>
    <t>浙江大学博士生会新闻宣传中心骨干成员，参与校博会各项活动的宣传与微信平台的新闻编辑推送工作；主动承担实验室安全管理员的各项任务；积极参与支部各项活动以及学校学院的学术活动；参加2017年植物病理学大会</t>
  </si>
  <si>
    <t>张露月</t>
  </si>
  <si>
    <t>参加第一届国际园艺生物学研讨会；参加第十届国际植物线粒体生物学大会。完成2018中国大学生马拉松联赛，2018杭州梦想小镇迷你马拉松，2018咪咕善跑10公里个人挑战赛。完成一次2018年春季飘渺毅行。</t>
  </si>
  <si>
    <t>曹嘉健</t>
  </si>
  <si>
    <t>参与暑期社会实践</t>
  </si>
  <si>
    <t>蒯鹏</t>
  </si>
  <si>
    <t>研究生第五党支部心理委员，参加培训并结业</t>
  </si>
  <si>
    <t xml:space="preserve">
2017.09参加上海‘Life in color’城市彩色跑；2018.06参加中国线上马拉松；2018.07赴常山县开展暑期社会实践；2018.06参加全国第十二届化学生态学会，Poster报告一等奖
</t>
  </si>
  <si>
    <t>张栋</t>
  </si>
  <si>
    <t>徐罗娜</t>
  </si>
  <si>
    <t>支部组织委员</t>
  </si>
  <si>
    <t>李胜杰</t>
  </si>
  <si>
    <t>核农所研究生第二党支部副书记、课题组实验助理</t>
  </si>
  <si>
    <t>担任核农所研究生第二党支部副书记，积极协助党支部书记统筹安排各项序列活动，如主题党日、序列培训及党课学习等活动。
担任课题组实验助理工作，包括公共制剂管理和配置等。</t>
  </si>
  <si>
    <t>王嘉乐</t>
  </si>
  <si>
    <t>校运动会研究生女子跳高、浙江省青年植保学术研讨会志愿者</t>
  </si>
  <si>
    <t>张佼</t>
  </si>
  <si>
    <t>1.第三届生物入侵学大会志愿者；2.浙江大学艺博馆志愿者；3.美丽中国支教项目陪读老师</t>
  </si>
  <si>
    <t>周悦南</t>
  </si>
  <si>
    <t>西湖山地越野赛;第三届西湖玫瑰跑比赛;德清莫干山国际竹海马拉松赛;浙大水上赛龙舟比赛;徐州马拉松赛;桐庐国际马拉松赛;中国大学生马拉松赛;浙大毅行</t>
  </si>
  <si>
    <t>王蓓蓓</t>
  </si>
  <si>
    <t>1. 2017-11.19-11.22 ICBI2017 国际会议志愿者；
2. 2018.4.22  参加2018中国大学生马拉松联赛</t>
  </si>
  <si>
    <t>王燕萍</t>
  </si>
  <si>
    <t>第三届西湖玫瑰跑、2018年春季浙大毅行</t>
  </si>
  <si>
    <t>梁世优</t>
  </si>
  <si>
    <t>1.2018春季飘渺毅行队长；2.于子三殉难70周年纪念活动；3.中韩交流会；4.2017年浙江省昆虫学年会报告；5.第二届时政案例分析大赛三等奖</t>
  </si>
  <si>
    <t>梅耀天</t>
  </si>
  <si>
    <t>浙大秋季毅行；校艺术团成员参与新年狂欢夜文艺汇演；参加“攀登吧，浙大”活动</t>
  </si>
  <si>
    <t>吴伯萍</t>
  </si>
  <si>
    <t>获2016-2017学年“优秀研究生”荣誉称号；获2016-2017学年“社会实践先进个人”荣誉称号；</t>
  </si>
  <si>
    <t>2018年1月在浙江大学农业与生物技术学院第三届农生·剪影最美科研作品大赛获三等奖；2018年5月在农学院第三届“问道启真，逐梦农生”研究生学术节之博士生创新论坛口头汇报三等奖</t>
  </si>
  <si>
    <t>85</t>
  </si>
  <si>
    <t>宋歌</t>
  </si>
  <si>
    <t>求是学院云峰学园兼职辅导员，作物所第六党支部心理委员</t>
  </si>
  <si>
    <t>第四届世界互联网大会特殊贡献奖、2017年秋季运动会女子4*400第七名</t>
  </si>
  <si>
    <t>陈光</t>
  </si>
  <si>
    <t>蒙</t>
  </si>
  <si>
    <t xml:space="preserve">2017.11-12 参加农学院作物所“海外合作伙伴计划”赴美国康奈尔大学进行学术交流访问；
2018.05 获得农学院第三届“问道启真，逐梦农生”研究生学术节之博士生创新论坛墙报二等奖；
2018.05 获得CSC资助赴美国佛罗里达大学进行学术访问一年；
2018.06 获得“启真杯”浙江大学2018年度学生十大学术新成果奖
</t>
  </si>
  <si>
    <t>张康妮</t>
  </si>
  <si>
    <t>参加第四届全国功能基因组学高峰论坛，浙江大学2018年研究生社会实践</t>
  </si>
  <si>
    <t>马天铃</t>
  </si>
  <si>
    <t>暑期社会实践赴宁波农科院实践团队宣传员</t>
  </si>
  <si>
    <t>举办并参与汇报宁波农科院博士生论坛</t>
  </si>
  <si>
    <t>李琳</t>
  </si>
  <si>
    <t>石蓉懿</t>
  </si>
  <si>
    <t>在农学院第三届“问道启真，逐梦农生”研究生学术节中获得墙报展示一等奖。
在农学院第三届“问道启真，逐梦农生”研究生学术节中获得口头报告二等奖。2018.6参加Cold Spring Harbor Asia Conference，并参与墙报展示</t>
  </si>
  <si>
    <t>邢梦云</t>
  </si>
  <si>
    <t>84</t>
  </si>
  <si>
    <t>陈宣亦</t>
  </si>
  <si>
    <t>2017年10月份参加深圳召开的DNA损伤修复大会</t>
  </si>
  <si>
    <t>翁雨岚</t>
  </si>
  <si>
    <t>2018年农学院夏令营志愿者</t>
  </si>
  <si>
    <t>毛芬</t>
  </si>
  <si>
    <t>李蒙</t>
  </si>
  <si>
    <t>博士Ⅰ类</t>
  </si>
  <si>
    <t>SCI1(1,IF=4.143)</t>
  </si>
  <si>
    <t>1.参加杭州志愿者服务；2.参加博士生社会实践</t>
  </si>
  <si>
    <t>李美珍</t>
  </si>
  <si>
    <t>昆虫所网站管理员</t>
  </si>
  <si>
    <t>王开心</t>
  </si>
  <si>
    <t>SCI1(共1排2,IF=3.268)</t>
  </si>
  <si>
    <t>党支部书记、团支部宣传委员、校博会新媒体中心成员</t>
  </si>
  <si>
    <t>农学院“青禾之声”宣传骨干培训并顺利结业/第四届学生节"拾趣"趣味学术运动会团体三等奖/农学院2018级研究生迎新志愿者</t>
  </si>
  <si>
    <t>黄旦益</t>
  </si>
  <si>
    <t>浙江大学研究生会新媒体工作室副主任，农学院社会实践部门成员，17级茶学系班长</t>
  </si>
  <si>
    <t>积极参加学术讲座，参与茶都名园敬老茶会志愿者，参与校运动会接力、跳远项目。</t>
  </si>
  <si>
    <t>优干</t>
  </si>
  <si>
    <t>徐世积</t>
  </si>
  <si>
    <t>2018年暑假赴美领导力培训交流</t>
  </si>
  <si>
    <t>赵慧芳</t>
  </si>
  <si>
    <t>浙江大学研究生会成员</t>
  </si>
  <si>
    <t>挂职湖州市南浔区农林局局长助理一月</t>
  </si>
  <si>
    <t>优研、三好、优干</t>
  </si>
  <si>
    <t>魏春艳</t>
  </si>
  <si>
    <t>果树所研究生第二党支部支部书记/农学院研博会学术发展中心成员</t>
  </si>
  <si>
    <t>2017年“三好杯健美操比赛团体二等奖，参与2018年学生节巡游等</t>
  </si>
  <si>
    <t>宋雪薇</t>
  </si>
  <si>
    <t>班级文体委员</t>
  </si>
  <si>
    <t>陈洪瑜</t>
  </si>
  <si>
    <t>作物所第五、七党支部书记，农学院于子三宣讲团成员</t>
  </si>
  <si>
    <t>张亚东</t>
  </si>
  <si>
    <t>89.00</t>
  </si>
  <si>
    <t>2017级昆虫所硕博班班长
党支部宣传委员
团支部心理委员</t>
  </si>
  <si>
    <t>1.组织学院新生合唱比赛
2.参与趣味学术运动会等文体比赛
3.参与国际毅行大会
4.第二届时政案例分析大赛二等奖</t>
  </si>
  <si>
    <t>裘程炜</t>
  </si>
  <si>
    <t>熊笑辉</t>
  </si>
  <si>
    <t>生物所2017级班长；生物所研究生第五、六党支部副书记</t>
  </si>
  <si>
    <t xml:space="preserve">负责班级大小事务、新生合唱比赛，获“三等奖”；负责支部学术交流、职业规划、社会实践等相关工作；负责生物所迎新晚会的筹备；赴嘉兴农科院开展为期社会实践并担任团队队长
</t>
  </si>
  <si>
    <t>吴东亚</t>
  </si>
  <si>
    <t>农学院研博会副主席；校博士生会文化建设委员会委员</t>
  </si>
  <si>
    <t>“学会杯”生物信息学比赛铜奖、南浔区政府农林发展局局长助理挂职等</t>
  </si>
  <si>
    <t>赵现馨</t>
  </si>
  <si>
    <t>昆虫所研究生第一党支部组织委员</t>
  </si>
  <si>
    <t>农学院新声合唱比赛；农学院新年晚会；农生环组团女子篮球赛“新状元杯”冠军；浙江大学“三好杯”女子篮球比赛第六名</t>
  </si>
  <si>
    <t>毕艳</t>
  </si>
  <si>
    <t>生物所第五、六党支部纪律委员；生物所第五团支部宣传委员</t>
  </si>
  <si>
    <t>张小雅</t>
  </si>
  <si>
    <t>88.89</t>
  </si>
  <si>
    <t>团支部宣传委员</t>
  </si>
  <si>
    <t>新生合唱比赛、元旦晚会</t>
  </si>
  <si>
    <t>王春红</t>
  </si>
  <si>
    <t>1.2018年昆虫所研究生元旦晚会 2.2018年院元旦晚会 3.2018年院红歌合唱比赛 4.2018年上半年飘渺毅行</t>
  </si>
  <si>
    <t>张厚洪</t>
  </si>
  <si>
    <t>土家族</t>
  </si>
  <si>
    <t>88.58</t>
  </si>
  <si>
    <t>昆虫所研究生第二党支部心理委员</t>
  </si>
  <si>
    <t>元旦晚会、合唱比赛</t>
  </si>
  <si>
    <t>童浩杰</t>
  </si>
  <si>
    <t>昆虫所研究生第五党支部组织委员</t>
  </si>
  <si>
    <t>第三届国际入侵昆虫学大会优秀志愿者，参加中国昆虫学会2018年学术年会并做Poster，参加“三好杯”羽毛球赛，2018年昆虫所迎新晚会，院合唱比赛</t>
  </si>
  <si>
    <t>肖小娥</t>
  </si>
  <si>
    <t>吴薇</t>
  </si>
  <si>
    <t>担任17级果树所团支部组织委员及班级文体委员</t>
  </si>
  <si>
    <t>参加了2017年江苏省定向邀请赛，中距、短距获得了个人第三、团体第一，百米获得了个人、团体第一；参加了2018年“三好杯”啦啦操比赛，获得团体第六；参与了果树所新晚、学校跨年晚会等的节目表演</t>
  </si>
  <si>
    <t>姚珂</t>
  </si>
  <si>
    <t>生物所第五、六团支部团支书</t>
  </si>
  <si>
    <t>吴肖彤</t>
  </si>
  <si>
    <t>农学院2018年元旦晚会、农学院2017级研究生新生合唱比赛、2018年浙大校友春季毅行、第三届国际生物入侵大会志愿者</t>
  </si>
  <si>
    <t>庞兰</t>
  </si>
  <si>
    <t>昆虫所第三团支部心理委员</t>
  </si>
  <si>
    <t>2017农学院合唱比赛；农学院迎新晚会舞蹈；昆虫所迎新晚会开场舞、小品</t>
  </si>
  <si>
    <t>丁淑婷</t>
  </si>
  <si>
    <t>俞凯丽</t>
  </si>
  <si>
    <t>团支书</t>
  </si>
  <si>
    <t>刘梦娇</t>
  </si>
  <si>
    <t>生物所研究生第五、六党支部组织委员</t>
  </si>
  <si>
    <t>在黄山市太平湖镇人民政府参加为期36天社会实践</t>
  </si>
  <si>
    <t>黄文倩</t>
  </si>
  <si>
    <t>作物所第二党支部组织委员</t>
  </si>
  <si>
    <t>获西南大学优秀毕业生称号；农学院博士生新生奖学金；</t>
  </si>
  <si>
    <t>尹晓伟</t>
  </si>
  <si>
    <t>蔬菜所研究生第二团支部团支书</t>
  </si>
  <si>
    <t>闫岩</t>
  </si>
  <si>
    <t>研博会文体联谊中心成员、团支部组织委员</t>
  </si>
  <si>
    <t>王羚羽</t>
  </si>
  <si>
    <t>党支部组织员；团支部组织委员</t>
  </si>
  <si>
    <t>浙江大学2018年贵州安顺基地社会实践项目；
2018年浙江省大学生游泳锦标赛女子甲组200米仰泳第一名、4*100米自由泳接力第一名、4*50米混合泳接力第一名；
农生环学部“新状元”杯女子篮球组一等奖；2018年三好杯篮球赛第六名；2017年运动会田径比赛研究生女子400米第二名</t>
  </si>
  <si>
    <t>党聪</t>
  </si>
  <si>
    <t>参与组织了“转基因科普进校园”科普活动；参加为期一个月博士生暑期社会实践；参加本科生助教。</t>
  </si>
  <si>
    <t>胡娜娜</t>
  </si>
  <si>
    <t>刘梦菊</t>
  </si>
  <si>
    <t>参与浙江大学2017年度学生节活动，作为农学院的志愿者代表学院走方阵、表演。</t>
  </si>
  <si>
    <t>胡超轶</t>
  </si>
  <si>
    <t>蔬菜所研究生第二党支部支部书记</t>
  </si>
  <si>
    <t>代表农学院排球队参加2017年浙江大学“三好杯”排球赛；浙江大学2018年“混排”排球比赛第二名；浙江大学2018年“学园杯”排球比赛第二名</t>
  </si>
  <si>
    <t>李达</t>
  </si>
  <si>
    <t>2018敬老茶会志愿者，茶学系新年晚会志愿者</t>
  </si>
  <si>
    <t>刘晓玉</t>
  </si>
  <si>
    <t>科硕Ⅱ类</t>
  </si>
  <si>
    <t>SCI2（共1排1，IF=7.250；2，IF=5.291），一级1(1)</t>
  </si>
  <si>
    <t xml:space="preserve">2017年10月参加南京马拉松暨全国马拉松锦标赛；11月参加杭州马拉松与武汉女子半程马拉松；2018年参加横店马拉松与桐庐国际半程马拉松；均取得优异成绩
2018年1-2月参加“The GreenLion”义工组织斯里兰卡海龟志愿者保护项目；
2018年7-8月参加“The GreenLion”国际义工组织尼泊尔文化沉浸志愿者项目；
</t>
  </si>
  <si>
    <t>邓燕飞</t>
  </si>
  <si>
    <t>SCI2(1,IF=4.0；3,IF=4.984)</t>
    <phoneticPr fontId="3" type="noConversion"/>
  </si>
  <si>
    <t>慈溪市庵东镇进行半个月的辣椒炭疽病害田间调查，喷药防治，防效统计</t>
  </si>
  <si>
    <t>焦沙沙</t>
  </si>
  <si>
    <t>SCI3(1,IF=3.222;3,IF=4.0;3,IF=3.791)</t>
  </si>
  <si>
    <t>杨丹丹</t>
  </si>
  <si>
    <t>SCI2(2，IF=7.833，6.151)</t>
  </si>
  <si>
    <t>蔬菜所研究生第一党支部书记</t>
  </si>
  <si>
    <t>校庆志愿者</t>
  </si>
  <si>
    <t>李旭敏</t>
  </si>
  <si>
    <t>SCI3（2，IF=5.862；2，IF=3.268；3，IF=3.268）</t>
  </si>
  <si>
    <t>第十届海峡两岸暨港澳茶业学术研讨会发表会议论文并做口头报告；2017年中国茶业科技年会；第十五届长三角科技论坛茶产业专题分论坛</t>
  </si>
  <si>
    <t>浙江大学16茶叶所研博班班长</t>
  </si>
  <si>
    <t>方舟滔</t>
  </si>
  <si>
    <t>SCI1(1,IF=2.173)</t>
  </si>
  <si>
    <t>斯里兰卡国际会议口头报告；201810418025.1（第一作者）。</t>
  </si>
  <si>
    <t>云南社会实践，获云南网报道</t>
  </si>
  <si>
    <t>褚天祎</t>
  </si>
  <si>
    <t>SCI3(2,IF=4.551；3,IF=4.551；3,IF=5.291)</t>
  </si>
  <si>
    <t>1.2018横店国际马拉松。2.2018年1-2月参加“The Greenlion”义工组织斯里兰卡海龟保护志愿者项目</t>
  </si>
  <si>
    <t>朱新恬</t>
  </si>
  <si>
    <t>SCI(共1排2，IF=4.257)</t>
  </si>
  <si>
    <t>吴琼</t>
  </si>
  <si>
    <t>SCI2(2,IF=4.143；2,IF=4.551)</t>
  </si>
  <si>
    <t>担任学生助理；参加2018第四届荧光跑杭州站</t>
  </si>
  <si>
    <t>许砚杰</t>
  </si>
  <si>
    <t>SCI2(1,IF=1.521,3，IF=4.879)</t>
  </si>
  <si>
    <t>16级核农所班长</t>
  </si>
  <si>
    <t>新生夏令营，校庆志愿者，所内安全检查</t>
  </si>
  <si>
    <t>居祯祯</t>
  </si>
  <si>
    <t>SCI2(2,IF=5.462; 3,IF=4.964)</t>
  </si>
  <si>
    <t>程丹妮</t>
  </si>
  <si>
    <t>SCI1(2,IF=7.833)</t>
  </si>
  <si>
    <t>支部心理委员</t>
  </si>
  <si>
    <t>周思聪</t>
  </si>
  <si>
    <t>SCI1(2,IF=4.609),一级1(1)</t>
  </si>
  <si>
    <t>参加2018年浙江大学研究生“三好杯”羽毛球赛，获得团体第八名，单项女子双打比赛获得第四名。
参加第四届全国果蝇生物学大会。
参加中国昆虫学会2018年学术年会。
参加浙大毅行。</t>
  </si>
  <si>
    <t>白玉雪</t>
  </si>
  <si>
    <t xml:space="preserve">SCI1(2,IF=8.065), </t>
  </si>
  <si>
    <t>食品安全宣传活动</t>
  </si>
  <si>
    <t>刘冬冬</t>
  </si>
  <si>
    <t>SCI2(2,IF=4.013，2.455)</t>
    <phoneticPr fontId="3" type="noConversion"/>
  </si>
  <si>
    <t>龚子渊</t>
  </si>
  <si>
    <t>SCI1(2,IF=6.044)</t>
  </si>
  <si>
    <t>张启好</t>
  </si>
  <si>
    <t>SCI1(2,IF=5.291)</t>
  </si>
  <si>
    <t>顾莹婕</t>
  </si>
  <si>
    <t>一级1(1)；SCI1（2，IF=2.173）</t>
  </si>
  <si>
    <t>担任浙江大学华发茶艺队组织部副部长担任茶叶所研究生党支部心理委员</t>
  </si>
  <si>
    <t>2018年4月取得二级评茶师证书，负责浙江大学医学院附属妇产科医院工会成员约30人为期一年的的茶艺培训，参加第二届中国茶博会，负责“国际白茶大使”评选比赛后勤工作，承担求是茶苑日常管理工作</t>
  </si>
  <si>
    <t>程家慧</t>
  </si>
  <si>
    <t>SCI1(2,IF=4.609)</t>
  </si>
  <si>
    <t>小美合作社实践部</t>
  </si>
  <si>
    <t>西农在浙校友联络员
全国高校赣协骨干
协办“蔡邦华活动日”
参加江西省外高校赣籍学子团工委第二届全委会
2017年全省“共青团员先锋岗（队）”创建青年评议会
全国高校赣协总会第三届代表大会，承办“真人图书馆”“学术成果展”等活动，参加农学院2018年赴湖南武冈“助力乡村振兴”暑期社会实践</t>
  </si>
  <si>
    <t>何怡雯</t>
  </si>
  <si>
    <t>SCI1（2，IF=4.984）</t>
  </si>
  <si>
    <t>浙大区块链俱乐部联合发起人及现任主席，现有会员四十九人，社群五百多人，并于清华北大等21所高校组成高校技术社区联盟。
浙大校庆120周年志愿者</t>
  </si>
  <si>
    <t>21616132</t>
  </si>
  <si>
    <t>胡雅</t>
  </si>
  <si>
    <t>SCI1(2,IF=4.078)</t>
  </si>
  <si>
    <t>于子三宣讲团团长</t>
  </si>
  <si>
    <t>生物所学术沙龙；学院博士生论坛等学术活动；学院拔河比赛、春博会等文体活动</t>
  </si>
  <si>
    <t>喻胡容</t>
  </si>
  <si>
    <t xml:space="preserve">SCI1(2,IF=4.354), </t>
  </si>
  <si>
    <t>鄢馨卉</t>
  </si>
  <si>
    <t>SCI1(2,IF=4.381)</t>
  </si>
  <si>
    <t>果树所研究生第三团支部组织委员</t>
  </si>
  <si>
    <t>作为志愿者参与学校组织的集体婚礼志愿者活动及义务献血活动</t>
  </si>
  <si>
    <t>于晖</t>
  </si>
  <si>
    <t>满</t>
  </si>
  <si>
    <t>SCI1(2，IF=3.878)</t>
  </si>
  <si>
    <t>蔬菜所研究生第一党支部组织委员</t>
  </si>
  <si>
    <t>吕学思</t>
  </si>
  <si>
    <t>SCI1(2,IF=2.016),核心1（1）</t>
  </si>
  <si>
    <t>2017年9月-2018年3月，担任园林所研究生第一党支部宣传委员</t>
  </si>
  <si>
    <t>2017年10月，担任第二届中华民族风景园林传承与创新之路暨孟兆祯院士学术思想论坛志愿者。</t>
  </si>
  <si>
    <t>金叶</t>
  </si>
  <si>
    <t>SCI1(2,IF=3.352)</t>
  </si>
  <si>
    <t>获2016-2017学年 浙江大学优秀团员，优秀研究生，三好研究生，优秀研究生干部，2018.7-2018.8 钱塘智慧城管委会党政办社会实践。</t>
  </si>
  <si>
    <t>王梦雨</t>
  </si>
  <si>
    <t>SCI1（2，IF=1.798),核心1（1）</t>
  </si>
  <si>
    <t>2017年11月，赴云南景东社会实践优秀团队，2017年12月，“不忘初心，牢记使命”微党课三等奖，2018年暑假参加赴浙江庆元社会实践</t>
  </si>
  <si>
    <t>杨梦恬</t>
  </si>
  <si>
    <t>核心1(2),一级1(1)</t>
  </si>
  <si>
    <t>浙大120周年农学院花车游行志愿者</t>
  </si>
  <si>
    <t>张继科温暖公益行两期，为累计30名杭州环卫工送温暖，免费午餐公益捐助，资助贵州一个小学生两个月午餐受降村教育参观活动，组织参观后的互动环节；参观绍兴鲁迅、周恩来故居；秦山核电站学习活动；西湖党史博物馆，参与知识竞答；雷峰塔下学雷锋并进行社会调查；参加浙江省核农学会理事大会；清明祭于子三；参加第三届博士生论坛等等。</t>
  </si>
  <si>
    <t>李中珊</t>
  </si>
  <si>
    <t>一级1（1）</t>
  </si>
  <si>
    <t>胡荣敏</t>
  </si>
  <si>
    <t>SCI1(2,IF=2.863）</t>
  </si>
  <si>
    <t>昆虫所研究生第三党支部纪律委员</t>
  </si>
  <si>
    <t>钱力鑫</t>
  </si>
  <si>
    <t>SCI(2,IF=2.373)</t>
  </si>
  <si>
    <t>1.2017-2018学年冬学期研究生培养处学生助理；</t>
  </si>
  <si>
    <t>第三届国际生物入侵学大会志愿者；.浙江大学华发茶艺队队员</t>
  </si>
  <si>
    <t>21616126</t>
  </si>
  <si>
    <t>林文烨</t>
  </si>
  <si>
    <t>SCI1(3,IF=4.964)</t>
  </si>
  <si>
    <t>曹燕</t>
  </si>
  <si>
    <t>SCI1（2,IF=2.333）</t>
  </si>
  <si>
    <t>“三好杯”排球赛冠军，“雏鹰杯”排球赛冠军，“混排”排球赛亚军</t>
  </si>
  <si>
    <t>陈杰</t>
  </si>
  <si>
    <t>SCI1(2,IF=1.766;3,IF=1.381)</t>
  </si>
  <si>
    <t>陈志达</t>
  </si>
  <si>
    <t>SCI1(3,IF=3.268)</t>
  </si>
  <si>
    <t>担任茶叶所研究生党支部纪律委员</t>
  </si>
  <si>
    <t>学院党建品牌活动（看望老教授）；承担求是茶苑日常管理工作；2018年“国际白茶大使”评选比赛志愿者；第四届互联网+大学生创新创业大赛浙江省金奖；湖南茶频道“小姐姐带你逛浙大”专场志愿者</t>
  </si>
  <si>
    <t>徐雅静</t>
  </si>
  <si>
    <t xml:space="preserve">科硕Ⅱ类   </t>
  </si>
  <si>
    <t>SCI1（3，IF=3.499）</t>
  </si>
  <si>
    <t>郑晨飞</t>
  </si>
  <si>
    <t>SCI(3,IF=3.460)</t>
  </si>
  <si>
    <t>王成盼</t>
  </si>
  <si>
    <t>核心1(1)</t>
  </si>
  <si>
    <t>1.2017年12月组织蔡邦华活动日
2.2018年暑假龙泉市查田镇政府挂职团委副书记</t>
  </si>
  <si>
    <t>陈珊珊</t>
  </si>
  <si>
    <t>蔬菜所研究生第四党支部心理委员</t>
  </si>
  <si>
    <t>2017年优秀研究生党支部书记；2017-2018年优秀共产党员；浙江大学2016-2017学年优秀研究生；浙江大学2016-2017学年三好研究生；2017年浙江大学青年志愿者服务二星荣誉奖；2018年浙江大学农业与生物技术学院暑期“学思践悟新思想•青春奉献新时代”社会实践</t>
  </si>
  <si>
    <t>刘谦</t>
  </si>
  <si>
    <t>郭根源</t>
  </si>
  <si>
    <t>北京内蒙古暑期社会实践</t>
  </si>
  <si>
    <t>戴镜郦</t>
  </si>
  <si>
    <t>农学院挂职团干</t>
  </si>
  <si>
    <t>2016-2017学年 优秀研究生及优秀研究生干部。本学年担任农学院挂职团干，主要负责研博会交接工作，农学院文体中心日常事务的统筹管理等工作。</t>
  </si>
  <si>
    <t>刘超</t>
  </si>
  <si>
    <t>1.团委组织部成员</t>
  </si>
  <si>
    <t>1.参与昆虫所元旦晚会；2.担任“神农班”赴北京及内蒙社会实践助教；3.参与赴浙江庆元“最多跑一次”改革调研；3.担任第三届国际昆虫基因组大会和第六届国际昆虫生理生化大会以及第三届国际生物入侵大会志愿者4；负责团委组织部工作，负责团支部推优、团日活动等工作</t>
  </si>
  <si>
    <t>张慧</t>
  </si>
  <si>
    <t>党支部委员</t>
  </si>
  <si>
    <t>参加2017年暑期南浔挂职
2018年暑期开展有关乡风文明的调研活动</t>
  </si>
  <si>
    <t>王威</t>
  </si>
  <si>
    <t>昆虫所学生负责人</t>
  </si>
  <si>
    <t>昆虫所2018年新年晚会负责人、昆虫所第三届二次蔡邦华活动日</t>
  </si>
  <si>
    <t>孙硕</t>
  </si>
  <si>
    <t>作物所第七党支部书记</t>
  </si>
  <si>
    <t>陈璇</t>
  </si>
  <si>
    <t>昆虫所第二党支部组织委员</t>
  </si>
  <si>
    <t>参加2017年校运动会铁饼和跳高，其中获研究生组女子跳高第6名；参加上海虎贲长剑训练营。</t>
  </si>
  <si>
    <t xml:space="preserve">何语涵   </t>
  </si>
  <si>
    <t>基层工作服务协会干事</t>
  </si>
  <si>
    <t>校级社会实践</t>
  </si>
  <si>
    <t>李秋颍</t>
  </si>
  <si>
    <t>2017年担任生物所研究生第五、六党支部书记</t>
  </si>
  <si>
    <t>赴陕西安康市镇坪县进行精准扶贫社会实践</t>
  </si>
  <si>
    <t>张梦秋</t>
  </si>
  <si>
    <t>2017年 农学院学术夏令营优秀志愿者
2018年 昆虫所新年晚会工作人员</t>
  </si>
  <si>
    <t>殷学杰</t>
  </si>
  <si>
    <t>2.农生环五院篮球赛
3.浙江大学三好杯篮球赛
4.金地集团客户关系岗实习
5.剑桥少儿英语监考老师
6.2018浙大飘渺毅行</t>
  </si>
  <si>
    <t>江思雨</t>
  </si>
  <si>
    <t>生物所研究生第五、六党支部组织委员（2017.03-2018.03）</t>
  </si>
  <si>
    <t>1.组织生物所第五、六党支部开展迎新活动、定向越野等党日活动；2.参加浙江大学启真基层论坛；3.参加浙江大学首期选调生专题研究计划；4.党支部第二届时政案例分析大赛优秀奖；5.青春献礼团日活动知识竞赛二等奖；6.参加浙江大学2018年春季毅行</t>
  </si>
  <si>
    <t>刘彦宏</t>
  </si>
  <si>
    <t>顾少涵</t>
  </si>
  <si>
    <t>迟惠荣</t>
  </si>
  <si>
    <t>助管</t>
  </si>
  <si>
    <t>王佳丽</t>
  </si>
  <si>
    <t>中国高峰媒体论坛志愿者；参加浙江大学2019节选调生研究计划；担任2018届基层就业毕业生欢送会礼仪</t>
  </si>
  <si>
    <t>光华奖学金</t>
    <phoneticPr fontId="3" type="noConversion"/>
  </si>
  <si>
    <t>朱晶磊</t>
  </si>
  <si>
    <t>科硕Ⅰ类</t>
  </si>
  <si>
    <t>团支部书记
团委组织部成员</t>
  </si>
  <si>
    <t>1.组织“从青学史，从研学思”支部活动
2.策划研究生团支书破冰活动
3.组织团支书理论技能培训
4.参与研究生团支书评奖评优，协助团委建立“智慧团建”系统</t>
  </si>
  <si>
    <t>光华奖学金</t>
    <phoneticPr fontId="3" type="noConversion"/>
  </si>
  <si>
    <t>葛祺晴</t>
  </si>
  <si>
    <t>团支部书记</t>
  </si>
  <si>
    <t>1.担任农药所第二团支部支书；2.组织农药所第二团支部于杭州太子湾公园进行垃圾分类宣传和行动；3.组织农药所第二团支部前往杭州党史纪念馆参观</t>
  </si>
  <si>
    <t>董倩</t>
  </si>
  <si>
    <t>SCI1(2,IF=2.186)</t>
  </si>
  <si>
    <t>浙江大学学生成长与服务中心勤工助学部门部长、作物所第六团支部心理委员</t>
  </si>
  <si>
    <t>梅加佳</t>
  </si>
  <si>
    <t>SCI1(3,IF=4.0)</t>
  </si>
  <si>
    <t>1.担任农药所第二党支部组织委员。2.慈溪市庵东镇进行半个月的辣椒炭疽病害田间调查，喷药防治，防效统计</t>
  </si>
  <si>
    <t>武小寒</t>
  </si>
  <si>
    <t>党支部副支部书记</t>
  </si>
  <si>
    <t>龙美娟</t>
  </si>
  <si>
    <t>浙江大学学生小美合作社执行社长、农学院研博会文体联谊中心干事、作物所第二党支部宣传委员、农学院第一期领鹰计划成员</t>
  </si>
  <si>
    <t>上海慈惠公益组织储备成长教练，慈惠月捐活动，浙江大学三好杯健美操研究生组二等奖（农生环队）</t>
  </si>
  <si>
    <t>魏佳</t>
  </si>
  <si>
    <t>果树所研究生第三党支部书记</t>
  </si>
  <si>
    <t>90</t>
  </si>
  <si>
    <t>董燕茹</t>
  </si>
  <si>
    <t>国际茶文化俱乐部主席、茶艺队负责人</t>
  </si>
  <si>
    <t xml:space="preserve">在国际、国家、社会、校内外各个舞台公益推广中国茶文化：
1.国际：代表茶艺队在第一届国际茶叶博览会、国际茶文化发展论坛、第二届国际茶叶博览会、环太平洋研究图书馆联盟（PRRLA）年会、第四届世界遗产大会等国际会议
2.国家：莫干山论坛、中国新经济领袖峰会等国家会议上进行茶艺表演和茶事服务，为国际友人和国家领导人传播中国茶文化。
3.社会：武林文博讲坛、浙江省敬老茶会、德清莫干黄芽茶王赛、龙坞茶镇九街开街（西湖龙井电商节）、西湖区平安公益市集。4.校内：为浙大礼仪队、能源学院等社团做公益茶艺礼仪培训。
</t>
  </si>
  <si>
    <t>乔焜</t>
  </si>
  <si>
    <t>班级班长</t>
  </si>
  <si>
    <t>1、浙江大学第四届学生节“时稔”农学院九所风采联合展获“新闻中心特别奖”
2、浙江大学第四届学生节“时稔”农学院九所风采联合展获“最佳文案奖”
3、参加浙江大学第六期健心计划“舌尖风暴，魅力人生”研究生训练营，并被评为“优秀学员”
4、参加2017年研究生新生合唱比赛获二等奖、2017年农学院拔河比赛第四名
5、参加2018年夏令营学生志愿者
6、参加浙江大学学生节的花车方阵大巡游</t>
  </si>
  <si>
    <t>张鹤</t>
  </si>
  <si>
    <t>党支部书记
团支部组织委员
院团委办公室成员</t>
  </si>
  <si>
    <t>1.参加祭扫于子三烈士活动并作学生代表发言
2.参加党总支纪念改革开放40年特色活动
3.协助团委进行研究生助学金、学业奖学金资料审核
4.2018年5月组织蔡邦华活动日
5.主持、组织多次支部会议与活动
6.第二届时政案例分析大赛一等奖</t>
  </si>
  <si>
    <t>王海霞</t>
  </si>
  <si>
    <t>2017年生物所新年晚会、生物所学术沙龙、农学院新生大合唱</t>
  </si>
  <si>
    <t>田宇倩</t>
  </si>
  <si>
    <t>壮族</t>
  </si>
  <si>
    <t>农学院茶学本科生党支部书记，农学院兼职辅导员</t>
  </si>
  <si>
    <t>敬老茶会、学院党建品牌活动（看望老教授）、科研趣味运动会</t>
  </si>
  <si>
    <t>黄洁</t>
  </si>
  <si>
    <t>核农所研究生第一三团支部团支书；核农所第一三党支部副党支书；农学院团委办公室成员</t>
  </si>
  <si>
    <t>薛琴</t>
  </si>
  <si>
    <t>蔬菜所研究生第三团支部书记、学院一团两中心社会实践部成员</t>
  </si>
  <si>
    <t>暑期参加陕西安康社会实践</t>
  </si>
  <si>
    <t>李晓萌</t>
  </si>
  <si>
    <t>职业发展中心干事/团支部宣传委员</t>
  </si>
  <si>
    <t>朱丽霞</t>
  </si>
  <si>
    <t>团组织委员</t>
  </si>
  <si>
    <t>孟凡亮</t>
  </si>
  <si>
    <t>蔬菜所第四团支部宣传委员</t>
  </si>
  <si>
    <t>林佳瑶</t>
  </si>
  <si>
    <t>蔬菜所研究生第四党支部宣传委员，蔬菜所第四团支部组织委员</t>
  </si>
  <si>
    <t>暑期赴北京内蒙古社会实践</t>
  </si>
  <si>
    <t>张范范</t>
  </si>
  <si>
    <t>生物所研究生第一党支部书记</t>
  </si>
  <si>
    <t>2018年3月生物所研究生第一党团支部联合开展“三五学雷锋月”绿色生态志愿服务活动；2018年5月参加农学院党员素质发展中心举办的以“献礼改革开放40周年，探索运河沿岸时代变迁”为主题的研究生党总支主题党日活动；2018年6月参加农学院“薪火相传，生生不息”“两学一做”实践教育团赴井冈山革命教育基地实践活动，并顺利结业；已连续两次参加浙大毅行；组织安排生物所定期举办学术沙龙系列学术报告。</t>
  </si>
  <si>
    <t>李钰卓</t>
  </si>
  <si>
    <t>蔬菜所研究生第三党支部书记、校社会实践发展中心成员</t>
  </si>
  <si>
    <t>1.2017.10，第九届全国环境化学大会志愿者
2.2017.11，参与浙大校友秋季毅行活动
3.2017.12，参与浙江大学第四届学生节“拾趣”趣味学术运动会
4.2018.4，参与中国大学生马拉松联赛浙江大学站
5.2018.5，参与浙大校友春季毅行活动</t>
  </si>
  <si>
    <t>姚立筠</t>
  </si>
  <si>
    <t xml:space="preserve">茶叶所研究生第二党支部书记、茶叶所研究生第二团支部组织委员
《茶与健康》课程助教
</t>
  </si>
  <si>
    <t>参与了第四届中华茶奥会志愿服务；
第二届国际茶叶博览会志愿服务；
参与主持了2018全国农业与生物技术优秀大学生学术夏令营开班仪式；
参与组织并主持了“献礼改革开放40周年，砥砺共筑中国梦——改革开放40年来运河两岸的时代变迁”活动；参与“预备党员培训班于南湖革命纪念馆的学习活动”。
浙大茶学2018新年晚会</t>
  </si>
  <si>
    <t>陈莲芙</t>
  </si>
  <si>
    <t xml:space="preserve">茶叶研究所第二党支部 副书记
校研究生会新媒体工作室 干事
</t>
  </si>
  <si>
    <t xml:space="preserve">2018年娃哈哈创意营销大赛 浙江省赛二等奖；主持 第四届中华茶奥会茶说家比赛；主持2018茶学系新年晚会；2019敬老茶会志愿者；学院党建品牌活动（看望老教授）；2018年“国际白茶大使”评选比赛志愿者；湖南茶频道“小姐姐带你逛浙大”专场志愿者；本科新生专业咨询志愿者；《茶学导论》课程助教
</t>
  </si>
  <si>
    <t>郑元庭</t>
  </si>
  <si>
    <t>刘柯</t>
  </si>
  <si>
    <t>2018.4，参与中国大学生马拉松联赛浙江大学站</t>
  </si>
  <si>
    <t>沈舒民</t>
  </si>
  <si>
    <t>团支部组织委员</t>
  </si>
  <si>
    <t>主持并参与实验室安全视频拍摄并获三等奖</t>
  </si>
  <si>
    <t>王麦克</t>
  </si>
  <si>
    <t>核农所研究生第一三团支部心理委员</t>
  </si>
  <si>
    <t>参与浙江大学第一届实验室安全小视频制作大赛 三等奖；参加农学院拔河比赛</t>
  </si>
  <si>
    <t>胡婉茵</t>
  </si>
  <si>
    <t>研博会学术发展中心干事，核农所17级班级心理委员，团支部宣传委员</t>
  </si>
  <si>
    <t>协助举办团支部活动，学院学术节系列活动、博士生论坛、十大学术新成果评选、侬说、趣味学术运动会、春博会等活动，负责发布活动相关的通知、收集活动相关材料和担任活动现场工作人员等工作。</t>
  </si>
  <si>
    <t>邝刘辉</t>
  </si>
  <si>
    <t>第一团支部宣传委员</t>
  </si>
  <si>
    <t>姚世杰</t>
  </si>
  <si>
    <t>团支部心理委员</t>
  </si>
  <si>
    <t>2017年农生环学部“新状元”五院篮球赛二等奖</t>
  </si>
  <si>
    <t>韩文昊</t>
  </si>
  <si>
    <t>1.2017级硕博班心理委员</t>
  </si>
  <si>
    <t>1.参与农学院“两学一做”实践教育团赴井冈山革命教育基地培训活动；2.第三届国际生物入侵学大会志愿者</t>
  </si>
  <si>
    <t>尹天言</t>
  </si>
  <si>
    <t>87.73</t>
  </si>
  <si>
    <t>1.昆虫所研究生第四党支部宣传委员</t>
  </si>
  <si>
    <t>1.2018年农学院全国优秀大学生夏令营志愿者；2.第三届国际生物入侵学大会志愿者</t>
  </si>
  <si>
    <t>彭路遥</t>
  </si>
  <si>
    <t>1. 担任昆虫所研究生第二党支部书记；
2. 担任农学研究生新媒体工作室成员。</t>
  </si>
  <si>
    <t>1. 组织举办第四届蔡邦华活动日；
2. 参加井冈山社会实践，获结业证书；
3. 2017年7月第三届国际昆虫基因组大会和第六届国际昆虫生理生化大会 “最佳志愿者”；
4. 2018年学院学术夏令营优秀志愿者；
5.参加新生合唱比赛，提议旁白话剧形式，荣获第一；
6.积极参加2018年昆虫所新年晚会，表演节目；
7. 2018年6月获农学院第一届“青禾之声”优秀作品奖。</t>
  </si>
  <si>
    <t>肖琪</t>
  </si>
  <si>
    <t>校研会国际交流部；院研博会文体联谊中心；生物所第五、六团支部组织委员</t>
  </si>
  <si>
    <t>“三好杯”啦啦操比赛；“三好杯”网球比赛；毅行；生物所迎新晚会；农学院教师迎新晚会；新生大合唱</t>
  </si>
  <si>
    <t>杨博</t>
  </si>
  <si>
    <t>果树所第三团支部心理委员、果树所2017级班级心理委员</t>
  </si>
  <si>
    <t>1.微党课演讲比赛二等奖
2.2016-2017年曾在浙大后勤集团实习，并在浙大草木学社工作了一段时间，为校园里的树木挂牌，带同学们认识植物</t>
  </si>
  <si>
    <t>董宇飞</t>
  </si>
  <si>
    <t>杨义</t>
  </si>
  <si>
    <t>昆虫所第一团支部宣传委员</t>
  </si>
  <si>
    <t>国际入侵生物学大会志愿者、新生合唱比赛、昆虫所元旦晚会</t>
  </si>
  <si>
    <t>茹炜岽</t>
  </si>
  <si>
    <t>求是学院兼职辅导员、核农所班长</t>
  </si>
  <si>
    <t>谢倩雯</t>
  </si>
  <si>
    <t>作物所研究生第四党支部支部书记、研博会成员</t>
  </si>
  <si>
    <t>顾青青</t>
  </si>
  <si>
    <t>孙永政</t>
  </si>
  <si>
    <t>1、农学院昆虫所第三团支部书记
2、浙江大学小美合作社副社长
3、和君商学院第十一期学员兼班委
4、萧县实验中学杭州校友会秘书长</t>
  </si>
  <si>
    <t>1、2017/11 获浙江大学2017年度暑期大学生社会实践活动优秀团队；
2、2017/11 获浙江大学农学院“唱响爱国主旋律 青春献礼十九大”研究生新生合唱比赛一等奖； 
3、2017/11 获浙江大学农学院“唱响爱国主旋律 青春献礼十九大”研究生新生合唱比赛最佳创意奖； 
4、2018/1 获浙江大学至美公益个人奖学金； 
5、2018/1 获浙江大学农学院第一届“十佳学子”荣誉称号； 
6、2018/3 获浙江大学第十一届“蒲公英”大学生创业大赛二等奖；
7、2018/5 获浙江省第六届“社创之星”单项奖——“乡村振兴奖”
8、2018/5 获浙江省第十一届“挑战杯”大学生创业大赛铜奖；
9、2018/6 浙江大学“一亩彩稻田”创业团队
10、2018/7 获浙江省第四届“互联网+”大学生创新创业大赛银奖；
11、2018/7 获浙江大学农学院十佳主题团日活动。
12、2018/7/19-2018/7/26，浙江大学赴北京与内蒙古中国农业现状调研社会实践团
13、2018/8/16-8/22浙江大学赴陕西安康镇坪县社会实践团队</t>
  </si>
  <si>
    <t>卢奇奇</t>
  </si>
  <si>
    <t>党支部书记、研究生艺术团主持与礼仪分团队员</t>
  </si>
  <si>
    <t>主持2017年核农所茶话会、主持农学院2018年新年晚会、主持2018年农学院博士生创新论坛与口头报告会议、主持2017年农学院新生大合唱比赛等；参与编写学院党素“三会一课”手册；2018年农学院迎新志愿者</t>
  </si>
  <si>
    <t>马巧梅</t>
  </si>
  <si>
    <t>班级宣传委员</t>
  </si>
  <si>
    <t>庞仁江</t>
  </si>
  <si>
    <t>核农所第二党支部书记、团支部组织委员、浙大农业创新与创业联盟干事</t>
  </si>
  <si>
    <t>1、积极参加“浙江省原子能农学会2018年学术年会”、第九届环境化学大会并担任志愿者
2、担任核农所第二党支部书记、团支部组织委员、浙大农创社团与基层服务协会干事，协助开展相关学生工作与公益活动
3、积极参加领鹰计划、井冈山先锋学子培训、2018暑期精准扶贫社会实践活动，参与组织学生节、春博会等大型校级活动</t>
  </si>
  <si>
    <t>杞璠</t>
  </si>
  <si>
    <t>生物所研究生第五、六党支部书记；农学院兼职辅导员；浙江大学华发大学生茶艺队外联部副部长</t>
  </si>
  <si>
    <t>浙江大学农学院2018年“走进乡土乡村·助力精准扶贫”暑期社会实践，担任队长。       2017年第四届中华茶奥会创新茶艺竞技赛三等奖。</t>
  </si>
  <si>
    <t>江杰</t>
  </si>
  <si>
    <t>国际研究生奖学金信息说明会志愿者；</t>
  </si>
  <si>
    <t>陈好好</t>
  </si>
  <si>
    <t>昆虫所第二党支部宣传委员、昆虫所第二团支部组织委员</t>
  </si>
  <si>
    <t>浙大毅行活动、研究生新生合唱、昆虫所新年晚会活动</t>
  </si>
  <si>
    <t>马一泓</t>
  </si>
  <si>
    <t>团委办公室学生助理</t>
  </si>
  <si>
    <t>浙江大学农学院赴浙江丽水精准扶贫暑期社会实践活动</t>
  </si>
  <si>
    <t>刘芳杰</t>
  </si>
  <si>
    <t>作物所第七团支部书记</t>
  </si>
  <si>
    <t>杨敏</t>
  </si>
  <si>
    <t>党支部宣传委员</t>
  </si>
  <si>
    <t>参加浙江省病理学年会、参加所学术沙龙，参加生物公司培训等</t>
  </si>
  <si>
    <t>张弛</t>
  </si>
  <si>
    <t>农学院研博会副主席/果树所研究生第二团支部书记</t>
  </si>
  <si>
    <t>组织参加学院及校级文体活动，18级新生训练营辅导员</t>
  </si>
  <si>
    <t>87</t>
  </si>
  <si>
    <t>王静静</t>
  </si>
  <si>
    <t>昆虫所研究生第五党支部书记</t>
  </si>
  <si>
    <t>1.党素举办的--献礼改革开放之“改革开放40周年运河两岸的时代变迁 ”活动中，作为组长带领其他五位书记在五个组中获得第一名。
2.与昆虫所团支部书记及其他昆虫所五位党支部书记共同策划完成“蔡邦华活动，并取得良好的活动效果。
3.主导党支部特色主题党日活动--“影像”追忆改革，再看美丽今朝，并在活动中留下了珍贵的照片和影像材料。
4.心系世界粮食供给现状，申报学校派遣赴联合国粮农组织实习，并已获得实习机会。</t>
  </si>
  <si>
    <t>韩进</t>
  </si>
  <si>
    <t>研博会主任、团支书</t>
  </si>
  <si>
    <t>浙大青马学院、井冈山社会实践</t>
  </si>
  <si>
    <t>金虹霞</t>
  </si>
  <si>
    <t>兼职辅导员及植保本科生党支部书记</t>
  </si>
  <si>
    <t>元旦晚会、新生合唱比赛、嘉兴参观活动、博士生社会实践论坛等</t>
  </si>
  <si>
    <t>王依依</t>
  </si>
  <si>
    <t>核农所第二团支部心理委员</t>
  </si>
  <si>
    <t>1、积极参加“浙江省原子能农学会2018年学术年会”2.担任团支部心理委员，协助开展相关学生工作与公益活动</t>
  </si>
  <si>
    <t>胡文慧</t>
  </si>
  <si>
    <t>昆虫所第五党支部心理委员</t>
  </si>
  <si>
    <t>1.策划2017.11.1浙江大学跳绳比赛;2.2017.11校运动会男女混合接力;3.2017.11浙江大学首届健美健身风采大赛工作人员;4.2017.11研究生新生合唱比赛;5.2017.12参加农学院方阵舞蹈表演;6.2018.4上虞国际马拉松;7.2018.4校园马拉松浙江大学站;8.2018.5.20杭州城市定向赛;9.参加2018.5蔡邦华活动日</t>
  </si>
  <si>
    <t>姚榕</t>
  </si>
  <si>
    <t>班级宣传委员、团支部书记、党支部副书记</t>
  </si>
  <si>
    <t>参加青禾之声宣传骨干培训班，协助团委老师完成相关工作</t>
  </si>
  <si>
    <t>郭赛赛</t>
  </si>
  <si>
    <t>蔬菜所第四团支部支部书记，党支部组织委员，浙大小美合作社实践部部长</t>
  </si>
  <si>
    <t>2018年暑假赴陕西安康精准扶贫社会实践</t>
  </si>
  <si>
    <t>郭宇燕</t>
  </si>
  <si>
    <t>生物所研究生第二团支部心理委员</t>
  </si>
  <si>
    <t>参加农学院“青禾之声”宣传骨干培训并结业。</t>
  </si>
  <si>
    <t>张斌</t>
  </si>
  <si>
    <t>罗序梅</t>
  </si>
  <si>
    <t>新生合唱、拔河比赛</t>
  </si>
  <si>
    <t>王心尧</t>
  </si>
  <si>
    <t>浙江大学电影协会副会长</t>
  </si>
  <si>
    <t>国际奖助学交流说明会志愿者、优秀学生骨干美国领导力教育实践项目</t>
  </si>
  <si>
    <t>潘中秋</t>
  </si>
  <si>
    <t>昆虫所研究生第三党支部书记，昆虫所2017级硕博班文体委员，农学院排球队队员</t>
  </si>
  <si>
    <t>2017年11月，参加农学院“三好杯”排球赛；2018年5月25日参加农学院“蔡邦华活动日”；2018年6月参加农学院“两学一做”教育实践团队赴井冈山红色革命教育基地进行社会实践</t>
  </si>
  <si>
    <t>陶若芙</t>
  </si>
  <si>
    <t>研博会学术发展中心成员、团支书</t>
  </si>
  <si>
    <t>李自豪</t>
  </si>
  <si>
    <t>研博会文体联谊中心主任、2017昆虫所硕博班组织委员</t>
  </si>
  <si>
    <t>新生合唱比赛、“侬说”、学生节方阵、“两学一做”实践教育团赴井冈山教育基地培训活动、2018夏令营志愿者、2018新生训练营辅导员等</t>
  </si>
  <si>
    <t>俞卓娴</t>
  </si>
  <si>
    <t>昆虫所研究生第五支部团支书</t>
  </si>
  <si>
    <t>2017年昆虫所研究生合唱比赛、元旦晚会</t>
  </si>
  <si>
    <t>徐淑婷</t>
  </si>
  <si>
    <t>果树所第二党支部组织委员/浙江大学外事处学生助理/浙江大学研究生会职业发展部部长</t>
  </si>
  <si>
    <t>张志豪</t>
  </si>
  <si>
    <t xml:space="preserve">作物所研究生第六党支部宣传委员
作物所17级班级组织委员
</t>
  </si>
  <si>
    <t>陈楠</t>
  </si>
  <si>
    <t>担任党支部书记，举办了以“紧扣时代脉搏，做新世纪新青年”为主题的时政分享汇等活动，并积极组织党支部党课学习；参与探索改革开放四十周年杭州运河两岸发展历史党日活动；参加党支部书记井冈山“薪火相传，生生不息”教育实践活动。</t>
  </si>
  <si>
    <t>陈美虹</t>
  </si>
  <si>
    <t>研博会成员，团支部心理委员</t>
  </si>
  <si>
    <t>校运会研究生女子标枪第五名</t>
  </si>
  <si>
    <t>孙灿</t>
  </si>
  <si>
    <t>张新家</t>
  </si>
  <si>
    <t>1.农学院团委社会实践部成员；2.昆虫所研究生第四党支部书记（2018.3月任职）</t>
  </si>
  <si>
    <t>1.第三届国际生物入侵大会志愿者；2,2018年农学院大学生学术夏令营志愿者领队；3.2018级迎新工作志愿者；4.参与举办昆虫所蔡邦华昆虫科学研究生活动日；5.积极参与昆虫所元旦晚会；6.协助开展学院举办的党日活动；7.参加学院5月份组织的井冈山革命教育基地培训活动；8.协助老师开展研究生暑期社会实践工作的组织、开展及总结等工作。</t>
  </si>
  <si>
    <t>赵志康</t>
  </si>
  <si>
    <t>果树所研究生第一党支部书记、果树所2017级宣传委员</t>
  </si>
  <si>
    <t>作为志愿者协助组织农学院2018年优秀大学生夏令营并获杰出志愿者称号，参与研究生新生入学迎新工作，浙江大学第四届学生节“拾取”趣味学术运动会团体三等奖，参加2017年浙江大学水陆嘉年华龙舟比赛三等奖。</t>
  </si>
  <si>
    <t>21716084</t>
  </si>
  <si>
    <t>刘柳</t>
  </si>
  <si>
    <t>团支书、组织委员、基层工作服务协会副部长</t>
  </si>
  <si>
    <t>刘锋军</t>
  </si>
  <si>
    <t>李超群</t>
  </si>
  <si>
    <t>2017农学院合唱比赛第一名，农学院新生元旦晚会开场舞，农学院三好杯啦啦操第六名；昆虫所元旦晚会舞蹈，小品，礼仪。</t>
  </si>
  <si>
    <t>崔超楠</t>
  </si>
  <si>
    <t>担任班级文体委员</t>
  </si>
  <si>
    <t xml:space="preserve">参加农学院新生大合唱，参加农学院生物所元旦晚会 </t>
  </si>
  <si>
    <t>吴思琪</t>
  </si>
  <si>
    <t>生物所研究生第四团、党支部心理委员</t>
  </si>
  <si>
    <t>唐仲英爱心社爱心周末活动</t>
  </si>
  <si>
    <t>韦云云</t>
  </si>
  <si>
    <t>党支部组织委员</t>
  </si>
  <si>
    <t>协助支部书记开展各项活动；参加由由浙江大学校园校团委和生工食品学院联合举办的暑期社会实践活动，积极到社区中参加食品安全宣传活动</t>
  </si>
  <si>
    <t>郭娜</t>
  </si>
  <si>
    <t>专硕Ⅱ类</t>
  </si>
  <si>
    <t>SCI1(1,IF=3.041)</t>
  </si>
  <si>
    <t xml:space="preserve">湖南茶频道“小姐姐带你逛浙大”专场志愿者
浙江大学校内举办“求职”主题课程分享
接待社科院一行全国各地的友人志愿者，宣传茶文化
接待国际茶总会（韩国）友人志愿者，介绍中国茶文化
第五届绿神径山茶祖祭典志愿者，宣扬茶文化
第四届中华茶奥会志愿者
</t>
  </si>
  <si>
    <t>陈耀栋</t>
  </si>
  <si>
    <t>SCI1(共1排2,IF=4.013)</t>
  </si>
  <si>
    <t>作物所研究生第五党支部书记、党员素质发展中心成员</t>
  </si>
  <si>
    <t>积极组织并参加支部“三会一课”及研究生党总支主题党日活动；参加校友春季毅行；参加“三好杯”羽毛球赛</t>
  </si>
  <si>
    <t>王超</t>
  </si>
  <si>
    <t>SCI2(共1排2,IF=2.810,2,IF=2.299)</t>
    <phoneticPr fontId="3" type="noConversion"/>
  </si>
  <si>
    <t>1.第三届国际生物入侵大会志愿者</t>
  </si>
  <si>
    <t>光华奖学金</t>
    <phoneticPr fontId="3" type="noConversion"/>
  </si>
  <si>
    <t>于家华</t>
  </si>
  <si>
    <t>SCI2(2,IF=4.257, 3.217)</t>
    <phoneticPr fontId="3" type="noConversion"/>
  </si>
  <si>
    <t>杨崇毅</t>
  </si>
  <si>
    <t>SCI1（3，IF=10.359）</t>
  </si>
  <si>
    <t>作物所第一党支部组织委员</t>
  </si>
  <si>
    <t>敖艳</t>
  </si>
  <si>
    <t>SCI3(2,IF=1.973,1.298,1.19)</t>
  </si>
  <si>
    <t>昆虫所研究生第五党支部宣传委员</t>
  </si>
  <si>
    <t>第三届国际入侵昆虫学大会优秀志愿者，2018年昆虫所迎新晚会</t>
  </si>
  <si>
    <t>秦可臻</t>
  </si>
  <si>
    <t>SCI1(2,IF=4.454)</t>
  </si>
  <si>
    <t>吴旻</t>
  </si>
  <si>
    <t>学院兼职辅导员、宣传中心主任、新媒体工作室主任</t>
  </si>
  <si>
    <t>担任生物所学生负责人期间，组织开展2018年生物所迎新晚会；组织开展“农学院神农班北京-内蒙古”社会实践；协助开展农学院“领鹰计划”领导力培训项目。</t>
  </si>
  <si>
    <t>李金</t>
  </si>
  <si>
    <t>SCI1(2,IF=3.767)</t>
  </si>
  <si>
    <t>担任茶叶所研究生第二党支部组织委员</t>
  </si>
  <si>
    <t>学院党建品牌活动（看望老教授）; 2018年“国际白茶大使”评选比赛志愿者；湖南茶频道“小姐姐带你逛浙大”专场志愿者 ; 浙江大学"校友杯网球赛"志愿者 ; 浙江大学茶叶所“敬老茶会”志愿者</t>
  </si>
  <si>
    <t>张勤</t>
  </si>
  <si>
    <t>SCI1(3,IF=3.878),中文核心1(1)</t>
  </si>
  <si>
    <t>参加赴湖南武冈暑期实践</t>
  </si>
  <si>
    <t>吴秀芹</t>
  </si>
  <si>
    <t>王凝</t>
  </si>
  <si>
    <t>SCI1（3，IF=4.354）</t>
  </si>
  <si>
    <t>浙江大学研究生理论宣讲团成员；浙江大学研究生艺术团礼仪队成员</t>
  </si>
  <si>
    <t>袁晓波</t>
  </si>
  <si>
    <t>SCI1(3,IF=3.973)</t>
  </si>
  <si>
    <t>携手作物、蔬菜支部联合举办“世界眼光、家国情怀”模拟联合国活动；另外作为精品党课主讲人之一先后在多个支部主讲党课；撰写支部八个一工作案例
赴陕西省延安市志丹县顺宁镇人民政府进行一个月的挂职锻炼，深入为民服务第一线，获得当地百姓与基层干部的一致肯定；其中个人挂职剪影推文阅读量1300+             赴深圳参加4.21-23日的昆虫基因组与绿色防控会议</t>
  </si>
  <si>
    <t>杨锐</t>
  </si>
  <si>
    <t>SCI1（2，IF=1.033）</t>
  </si>
  <si>
    <t>2019敬老茶会志愿者，茶学系新年晚会志愿者</t>
  </si>
  <si>
    <t>申鑫越</t>
  </si>
  <si>
    <t>SCI1(3,3.352)</t>
  </si>
  <si>
    <t>浙江大学润莘社社员、浙江大学的思想政治办公室担任研究生助管一职</t>
  </si>
  <si>
    <t>77</t>
  </si>
  <si>
    <t>屈楠</t>
  </si>
  <si>
    <t>浙大出版社兼职编辑</t>
  </si>
  <si>
    <t>李倩</t>
  </si>
  <si>
    <t>农学院职业发展中心兼职辅导员</t>
  </si>
  <si>
    <t>张丽萍</t>
  </si>
  <si>
    <t>兼职辅导员</t>
  </si>
  <si>
    <t>邵湘淇</t>
  </si>
  <si>
    <t>学生党员素质发展中心成员</t>
  </si>
  <si>
    <t>农学院“先锋学子”井冈山实践教育</t>
  </si>
  <si>
    <t>楼媛媛</t>
  </si>
  <si>
    <t>浙江大学农学院园林本科生党支部副书记</t>
  </si>
  <si>
    <t>1.中华民族风景园林传承与创新暨孟兆祯院士学术论坛志愿者，负责专家学者萧山机场接机以及论坛现场事务；
2.第二届“策论中国”参会，作为主要负责人团队所著的《安顺市黄果树旅游区农业产业综合考察报告》参评获优秀奖；
3.风景园林传统文化传承与发展之路“江南之问”活动浙江大学负责人，负责组织活动开展；
4.浙江大学园林所学科评估志愿者，负责场地布置与现场协调。</t>
  </si>
  <si>
    <t>吕雅兰</t>
  </si>
  <si>
    <t>学院官方微信公众号负责人</t>
  </si>
  <si>
    <t>1.2016.11,第十届中国产学研合作创新大会志愿者
2.2018年浙江大学大学生茶艺大赛团体创新金奖</t>
  </si>
  <si>
    <t>徐映萍</t>
  </si>
  <si>
    <t>学院职业发展中心主任</t>
  </si>
  <si>
    <t>海睿</t>
  </si>
  <si>
    <t>回</t>
  </si>
  <si>
    <t>农学院党员素质发展中心成员</t>
  </si>
  <si>
    <t>1.2017年第四届中华茶奥会创新茶艺竞技金奖
2.2018年浙江大学大学生茶艺大赛团体创新金奖
3.农学院“领鹰计划”农科人才素质提升工程学员
4.农学院2018年暑期赴美国领导力实践教育团队成员
5.浙江大学120周年校庆志愿者</t>
  </si>
  <si>
    <t>牟海淼</t>
  </si>
  <si>
    <t>新媒体工作室成员</t>
  </si>
  <si>
    <t>“浙大农学院”官方微信公众号的编辑与发布</t>
  </si>
  <si>
    <t>李潞潞</t>
  </si>
  <si>
    <t>冯瑶瑶</t>
  </si>
  <si>
    <t>蔬菜所研究生第一党支部宣传委员</t>
  </si>
  <si>
    <t>李薇</t>
  </si>
  <si>
    <t>2016级团支书</t>
  </si>
  <si>
    <t>浙大120周年校庆志愿者，新加坡学生交流项目指导，2018年农学院暑期社会实践活动</t>
  </si>
  <si>
    <t>田学凤</t>
  </si>
  <si>
    <t>班级体育委员</t>
  </si>
  <si>
    <t xml:space="preserve">2016.12 浙江大学“三好杯”乒乓球赛女子团体一等奖
2016.12 浙江大学“三好杯”乒乓球赛女子单打第四名
2016.12 浙江大学“三好杯”乒乓球赛混合双打第五名
2017.04 浙江大学“三好杯”羽毛球赛女子双打第三名
2017.04 浙江大学“三好杯”羽毛球赛团体第五名
2017.11 浙江大学优秀研究生
2017.11 浙江大学“三好杯”乒乓球赛女子团体一等奖
2017.11 浙江大学“三好杯”乒乓球赛女子单打第四名
2017.12 浙江大学“三好杯”网球赛女子单打第八名
2018.06 浙江大学“三好杯”羽毛球赛女子双打第四名
2018.06 浙江大学“三好杯”羽毛球赛女子单打第六名
</t>
  </si>
  <si>
    <t>唐贵珍</t>
  </si>
  <si>
    <t>宋靓苑</t>
  </si>
  <si>
    <t>1.2017.10-2018.01 网易公司实习；2.2018.07-2018.08 参加校基协组织基层挂职锻炼—丽水龙泉市兰巨乡政府；3.2017年冬多次组织支部学习十九大会议精神</t>
  </si>
  <si>
    <t>吴玥瑶</t>
  </si>
  <si>
    <t>1、浙大120周年校庆志愿者，负责现场协调指引工作；
2、世界休闲农业与乡村旅游峰会志愿者，负责签到指引工作；
3、2018年农学院暑期社会实践活动，作为实践团代表作总结汇报。</t>
  </si>
  <si>
    <t>陈天琪</t>
  </si>
  <si>
    <t>解林峰</t>
  </si>
  <si>
    <t>公开发明专利（第一作者2篇）</t>
  </si>
  <si>
    <t>苏南</t>
  </si>
  <si>
    <t>2018年参加浙江大学赴贵州台江精准扶贫暑期社会实践</t>
  </si>
  <si>
    <t>罗舟</t>
  </si>
  <si>
    <t>浙江大学120周年校庆志愿者，在博士生国际学术研讨会中担任对外联络组组员</t>
  </si>
  <si>
    <t>刘莉</t>
  </si>
  <si>
    <t>2017.09—2018.03担任园林所研究生第二党支部党支书园林所学科评估志愿者</t>
  </si>
  <si>
    <t>孙熠斐</t>
  </si>
  <si>
    <t>团委办公室兼职辅导员</t>
  </si>
  <si>
    <t>为波兰教授做向导</t>
  </si>
  <si>
    <t>韦奕莹</t>
  </si>
  <si>
    <t>2016级班长</t>
  </si>
  <si>
    <t>周星辰</t>
  </si>
  <si>
    <t>胡晓静</t>
  </si>
  <si>
    <t>研究生院助管</t>
  </si>
  <si>
    <t>参加暑期精准扶贫社会实践活动</t>
  </si>
  <si>
    <t>邱珊珊</t>
  </si>
  <si>
    <t>夏朱颖</t>
  </si>
  <si>
    <t>学校亚洲领袖（ALP）项目助教，学校龙泉市兰巨乡暑期挂职社会实践</t>
  </si>
  <si>
    <t>姚承</t>
  </si>
  <si>
    <t>金瑛迪</t>
  </si>
  <si>
    <t>范小艳</t>
  </si>
  <si>
    <t>专硕Ⅰ类</t>
  </si>
  <si>
    <t>SCI1（共1排2，IF=7.250）</t>
  </si>
  <si>
    <t>支部副书记</t>
  </si>
  <si>
    <t>光华奖学金（少数民族）</t>
    <phoneticPr fontId="3" type="noConversion"/>
  </si>
  <si>
    <t>覃楠楠</t>
  </si>
  <si>
    <t>壮</t>
  </si>
  <si>
    <t>SCI1（1，IF=3.878）</t>
  </si>
  <si>
    <t>浙江大学赴湖南武冈“助力乡村振兴”暑期社会实践团队队长（校级团队）；浙江大学小美合作社策划部部长</t>
  </si>
  <si>
    <t>第四届“互联网+”大学生创新创业大赛暨第四届中国“互联网+”大学生创新创业大赛银奖；浙江大学第十一届“蒲公英”大学生创业大赛二等奖；浙江大学优秀团员（2017-2018）；浙江大学第十八届研究生支教团成员（2017-2018）；农学院第一期领鹰计划学员（2017-2018）</t>
  </si>
  <si>
    <t>蔡卓彧</t>
  </si>
  <si>
    <t>团委学生助理；党支部心理委员；浙江大学新闻媒体中心视频部部长</t>
  </si>
  <si>
    <t>纵榜正</t>
  </si>
  <si>
    <t>求是学院兼职辅导员；
茶叶所研究生第一党支部书记；
大学生理想信念宣讲团；
十九大精神宣讲队；
于子三宣讲团宣讲员；
紫领人才培养计划第九期学员；
强鹰人才培养计划第十四期学员。</t>
  </si>
  <si>
    <t>第十三届全国学生运动会护旗手；
第十三届全国学生运动会志愿者；
进行理想信念宣讲，打磨十余节精品党课，宣讲次数达50余场，事迹三次被人民日报报导；
连续两年参与浙江省及学校征兵宣传、新兵役前训练，事迹登上CCTV13、浙江卫视新蓝网：
正在促成浙江大学退役士兵协会成立；
参与浙江大学学生军训，担任军训师司令部参谋、理想信念宣讲团宣讲员。</t>
  </si>
  <si>
    <t>梁露尹</t>
  </si>
  <si>
    <t>团支书，校研究生艺术团校研究生艺术团舞蹈分团
副团长，党支部副书记</t>
  </si>
  <si>
    <t>代表校艺术团参加浙江卫视《全民大声唱》节目录制，参加研究生毕业典礼、玉泉跨年晚会演出、浙江大学研究生艺术团赴舟山专场演出、研究生开学典礼演出；作为校展翅计划晚会的开场舞表演嘉宾。作为生物所学生代表参与学院教职工迎新联谊会表演师生版《凉凉》；代表学院参加校三好杯健美操比赛荣获第二名。参加浙大毅行，并积极参加生物所举办的学术沙龙讲座和科研讲座</t>
  </si>
  <si>
    <t>蒲晓芬</t>
  </si>
  <si>
    <t>担任园林所研究生第二支部团支书、学院团委组织部成员</t>
  </si>
  <si>
    <t xml:space="preserve">1.2017年11月，获“园冶杯”大学生国际竞赛园林规划类二等奖
2.2017年11月，获“岭南杯”景观设计大赛铜奖
3.作为团支书开展的“一支部一品牌”特色团日活动获得农学院“优秀团日活动”及“浙江大学十佳团日活动”
4.担任第二届中华民族风景园林传承与创新之路孟兆祯院士学术思想论坛的萧山机场接机志愿者；
5.担任第九届“全国环境化学大会”会场志愿者
6.2018年暑期在世界排名第一的设计公司AECOM上海公司实习两个月
</t>
  </si>
  <si>
    <t>张华颖</t>
  </si>
  <si>
    <t xml:space="preserve">学院团委办公室兼职辅导员；园林所第一团支部宣传委员
</t>
  </si>
  <si>
    <t>1.2018年9月22日，参与了风景园林年会历史与理论委员会，刊登了一篇会议论文；
1.2018年参与乌克兰国际志愿者“城市化”项目；
2.担任“缘聚浙大 放飞梦想——2018全国农业与生物技术优秀大学生学术夏令营”志愿者；
3.担任第二届中华民族风景园林传承与创新之路孟兆祯院士学术思想论坛的志愿者；
4.2017年11月，辅助导师开展浙江大学风景园林学科评估工作</t>
  </si>
  <si>
    <t>薛书勤</t>
  </si>
  <si>
    <t>蔬菜四党支部书记，研博会成员，
研究生艺术团成员
外事处学生助理</t>
  </si>
  <si>
    <t>参加《荸荠生产技术规范》审评会，
暑期赴北京内蒙古社会实践，
健美操（全校研究生组第二名）</t>
  </si>
  <si>
    <t>李永钧</t>
  </si>
  <si>
    <t>浙江大学研究生会宣传部副部长、园林所研究生第二党支部 党支书、农学院兼职辅导员、浙江大学第14期研究生干部讲习所成员、于子三宣讲团 组长</t>
  </si>
  <si>
    <t>校运动会4*100M第八名、农学院学术趣味运动会第一名、九所风采展最佳文案奖、钱塘江大桥建成80周年志愿者、国际研究生奖学金志愿者、孟兆祯讲座志愿者、园林所学科评估志愿者、巡游方阵节志愿者、yes we do暑期夏令营志愿教师</t>
  </si>
  <si>
    <t>马思妤</t>
  </si>
  <si>
    <t>园林所第一研究生党支部书记、院职业发展中心成员、于子三宣讲团组长</t>
  </si>
  <si>
    <t>1、农学院“微党课”演讲比赛一等奖；                  2、作为浙江大学研究生艺术团团员参加浙江大学2018玉泉跨年晚会演以及浙江大学2018级研究生开学典礼演出；                          3、2017.11至今作为于子三宣讲团成员，精品党课小组组长及主讲人，制作以“把握‘创新驱动’共解‘时代方程’”为题的精品党课PPT并在果树所三个党支部进行演讲</t>
  </si>
  <si>
    <t>王择适</t>
  </si>
  <si>
    <t>SCI1（2，IF=3.268）</t>
  </si>
  <si>
    <t>茶学第一团支部宣传委员</t>
  </si>
  <si>
    <t>2018敬老茶会志愿者，茶学系新年晚会志愿者，“青禾之声”宣传骨干培训课程；</t>
  </si>
  <si>
    <t>胡鹰</t>
  </si>
  <si>
    <t>浙江大学研究生社会实践发展中心副主任；园林所研究生第二党支部组织委员</t>
  </si>
  <si>
    <t>农学院赴浙江衢州“助力乡村振兴”暑期社会实践团队队长；“不忘初心，牢记使命”研究生微党课三等奖；孟兆祯院士学术思想论坛志愿者；2017年校运会阳光长跑志愿者；第四届学生节巡游方阵志愿者。</t>
  </si>
  <si>
    <t>许佳丹</t>
  </si>
  <si>
    <t>昆虫所第一党支部宣传委员</t>
  </si>
  <si>
    <t>参与农学院合唱比赛、昆虫所新年晚会、浙江大学第四届学生节巡游活动；担任第三届国际入侵生物学大会志愿者，并获“最佳志愿者”称号；参加“昆虫基因组与绿色防控”会议、第五届全国入侵生物学大会、2018年生物安全科技创新论坛暨“生物安全关键技术研发”重点专项外来生物入侵板块推进会；在上海海关动植物与食品检验检疫技术中心实习</t>
  </si>
  <si>
    <t>蔡盼</t>
  </si>
  <si>
    <t>研究生院助管、农学院团委办公室成员、小美合作社宣传部及财务负责人、浙大农创宣传部成员</t>
  </si>
  <si>
    <t>2018.8.16-2018.8.22 农学院赴陕西安康精准扶贫暑期社会实践、农学院第五期求职训练营营员、张杰演唱会杭州站志愿者</t>
  </si>
  <si>
    <t>宋楚君</t>
  </si>
  <si>
    <t>茶叶所研究生第一党支部 组织委员</t>
  </si>
  <si>
    <t>2018.4.27  2018年浙江省敬老茶会服务工作；
2017.10.19 茶叶所研究生党支部举办“探望老教授”活动 拜访刘祖生、胡月龄夫妇；</t>
  </si>
  <si>
    <t>孙倩</t>
  </si>
  <si>
    <t>新媒体工作室副主任/蔬菜所研究生第五党支部宣传委员/蔬菜所研究生第五团支部书记</t>
  </si>
  <si>
    <t>农学院“青禾之声”/春博会/学生节/第四届学生节"拾趣"趣味学术运动会团体三等奖</t>
  </si>
  <si>
    <t>钟宣伯</t>
  </si>
  <si>
    <t>学院合唱比赛团体3等奖、学院趣味运动会团体2等奖</t>
  </si>
  <si>
    <t>王建蘇</t>
  </si>
  <si>
    <t>班级心理委员、团支部心理委员</t>
  </si>
  <si>
    <t>2017级研究生新生合唱比赛；“三好杯”羽毛球比赛；“三好杯”太极拳比赛并获二等奖；2017年学生节“欢乐大巡游”志愿活动；农学院第一期“领鹰计划”农科人才素质提升工程；2018年暑期社会实践；三个党支部联合举办的“模拟联合国”活动；第四届全国功能基因组学高峰论坛。</t>
  </si>
  <si>
    <t>郝俊芳</t>
  </si>
  <si>
    <t>1.2017.12.22-29，喧闹的冬天绿色校园行公益活动。（浙大至美协会举办）
2.2018.4.28-5.8，中国化学会第31届学术年会志愿者活动。（中国化学会举办）
3.2018.5.17-20，浙大校友毅行志愿活动。（浙大校友会举办）
4.2018.7.22-28,2018全国高校科学营志愿活动。（浙大本科生院举办）
5.积极参加其他研究所，学院组织的活动。</t>
  </si>
  <si>
    <t>吕楚阳</t>
  </si>
  <si>
    <t>党支部书记、团支部副书记</t>
  </si>
  <si>
    <t>1、2018年8月浙江大学农学院赴云南景东暑期精准扶贫社会实践；2、2017年11月获浙江大学农业与生物技术学院研究生微党课演讲比赛二等奖；3、2018年6月江西井冈山团干部培训基地进行了“薪火相传，生生不息”井冈山社会实践培训党支部书记培训，担任班长并获得结业证书;4、参加了中国植物病理学年会2018年学术年会;5、生物所研究生2017年迎新晚会主持人</t>
  </si>
  <si>
    <t>吴慧子</t>
  </si>
  <si>
    <t>第三届生物入侵国际会议优秀志愿者、2017级“农生杯”(第一名）、“三好杯”篮球赛(第六名）</t>
  </si>
  <si>
    <t>赵莹莹</t>
  </si>
  <si>
    <t>新闻中心 于子三宣讲团 团委 心理委员</t>
  </si>
  <si>
    <t>农学院赴衢州“美丽庭院”改造暑期社会实践宣传委员、农学院“九风展”策划人员及宣传人员、浙江大学研究生体育文化节工作人员、校研工会盐梅工作室摄影专员、于子三宣讲团主要成员、国际工程教育范式改革大型会议志愿者、孟兆祯院士学术思想论坛会议志愿者。研究生信息说明会志愿者。天姥山唐诗大赛诗朗诵优秀奖、农学院学术节团体赛一等奖、研究生运动会800米女子组第八名、植物达人训练营优秀营员</t>
  </si>
  <si>
    <t>刘晨旭</t>
  </si>
  <si>
    <t>班级心理委员</t>
  </si>
  <si>
    <t>周启政</t>
  </si>
  <si>
    <t>党支部副书记</t>
  </si>
  <si>
    <t>2018.06起担任浙江大学研究生院学生助理；农学院新生合唱比赛三等奖；浙江大学第四届学生节农学院“趣味运动会”并获团体二等奖；参与浙江大学秋季运动会多项运动；2017年度河南大学“优秀毕业生”称号；参加河南大学青年志愿者协会“验血型”及献血活动；</t>
  </si>
  <si>
    <t>赵超越</t>
  </si>
  <si>
    <t>作物所第五、七党支部组织委员</t>
  </si>
  <si>
    <t>张文凯</t>
  </si>
  <si>
    <t>1.昆虫所研究生第四团支部团支部书记</t>
  </si>
  <si>
    <t>1.农学院第一届“农生杯”乒乓球比赛男子单打第五名；2.参与组织“蔡邦华活动”以及各种团日活动</t>
  </si>
  <si>
    <t>钟馥骏</t>
  </si>
  <si>
    <t>昆虫所第一团支部心理委员</t>
  </si>
  <si>
    <t>闫睿</t>
  </si>
  <si>
    <t>担任农业与生物技术学院园林所风景园林专业学位学科评估志愿者：
担任孟兆祯院士学术思想论坛志愿者</t>
  </si>
  <si>
    <t>赵寻</t>
  </si>
  <si>
    <t>研博会新闻中心主任、新媒体工作室成员、园林所第二团支部组织委员、未来企业家俱乐部经理</t>
  </si>
  <si>
    <t>陈婷</t>
  </si>
  <si>
    <t>农学院合唱比赛、昆虫所元旦文艺表演</t>
  </si>
  <si>
    <t>何文泽</t>
  </si>
  <si>
    <t>1.昆虫所研究生第四党支部组织委员；</t>
  </si>
  <si>
    <t>1.参加农学院合唱比赛；2.参与昆虫所新年晚会；3.第三届国际生物入侵学大会优秀志愿者</t>
  </si>
  <si>
    <t>戴凡</t>
  </si>
  <si>
    <t>研究生新媒体工作室主任、党支部委员、校级新媒体运营部成员</t>
  </si>
  <si>
    <t>参与 春博会、学术节 迎新工作</t>
  </si>
  <si>
    <t>李颖</t>
  </si>
  <si>
    <t>浙江大学空手道协会指导员、精品课程公益教学，杭州刚柔体育有限公司教练、品牌发展负责人</t>
  </si>
  <si>
    <t>参加全国大学生工业设计大赛、UK James Dyson Award</t>
  </si>
  <si>
    <t>陈孙杰</t>
  </si>
  <si>
    <t>1. 团支书
2. 新媒体工作室小编
3. 新年晚会志愿者</t>
  </si>
  <si>
    <t>栾雨婷</t>
  </si>
  <si>
    <t>2017年第九届国际研究生奖学金信息说明会志愿者</t>
  </si>
  <si>
    <t>80</t>
  </si>
  <si>
    <t>米月华</t>
  </si>
  <si>
    <t>蔬菜所第三党支部组织委员</t>
  </si>
  <si>
    <t>21716203</t>
  </si>
  <si>
    <t>钱晶</t>
  </si>
  <si>
    <t>浙江大学研究生新闻媒体中心副主任</t>
  </si>
  <si>
    <t>许静雯</t>
  </si>
  <si>
    <t>学院研博会副主席</t>
  </si>
  <si>
    <t>赵银</t>
  </si>
  <si>
    <t>新媒体工作室副主任，组织委员</t>
  </si>
  <si>
    <t>1.在农学院新媒体工作室担任副主任一职，管理运营“浙大农学研究生”微信公众平台。
2.在浙江大学农学院赴云南景东“助力乡村振兴”暑期社会实践团中担任副队长一职。
3.在浙江大学农学院“先锋学子”实践教育“薪火相传，生生不息”井冈山社会实践培训中担任宣传组新闻稿的负责人。</t>
  </si>
  <si>
    <t>郭磊</t>
  </si>
  <si>
    <t>1. 参加《第四届全国果蝇生物学大会》会议 上海
2. 《The Third International Congress On  Biological Invasions》 volunteer 杭州
3. 《新生合唱比赛》昆虫所 一等奖、最佳创意奖
4. 学生节《划龙舟比赛》团体二等奖
5. 第一团支部 组织委员
6. 参加春季毅行、浙江大学校园马拉松</t>
  </si>
  <si>
    <t>吴嘉璠</t>
  </si>
  <si>
    <t>班级心理委员，茶学系系网管理，浙江省生物化学与分子生物学学会成员</t>
  </si>
  <si>
    <t>浙江大学三好杯乒乓球女子单打第8名；美洲华人生物科学学会志愿者浙江大学农学院、茶叶所、昆虫所新年晚会。</t>
  </si>
  <si>
    <t>熊林云</t>
  </si>
  <si>
    <t>2017级班长、团支书、研博会成员</t>
  </si>
  <si>
    <t>果树所第一党支部副书记、果树所心理委员</t>
  </si>
  <si>
    <t>82</t>
  </si>
  <si>
    <t>吴小清</t>
  </si>
  <si>
    <t>茶叶所研究生第二团支部团支书
茶叶所17级硕博班组织委员
浙江大学学生农业创新与创业联盟副主席
浙江大学华发大学生茶艺队队员</t>
  </si>
  <si>
    <t>2017秋季毅行志愿者
2017年第四届茶奥会志愿者
2018年“国际白茶大使”评选比赛志愿者
2018年浙江省敬老茶会志愿者2017年第四届中华茶奥会品饮茶艺竞技“铜奖” 
第四届浙江省“互联网+”大学生创新创业大赛“金奖” 
“创青春”浙江省第十一届“挑战杯·萧山”大学生创业大赛银奖 
哇哈哈创意营销大赛浙江省赛二等奖 
哇哈哈创意营销大赛浙江大学校赛二等奖</t>
  </si>
  <si>
    <t>虞沁</t>
  </si>
  <si>
    <t>党支部心理委员、团支部宣传委员</t>
  </si>
  <si>
    <t>协助党支书开展各项活动；协助团支书各项工作并做好宣传工作。参加农学院第一届“青禾之声”宣传骨干培训。</t>
  </si>
  <si>
    <t>金赟涵</t>
  </si>
  <si>
    <t>戴晗</t>
  </si>
  <si>
    <t>团支部书记、校研工部学生助管</t>
  </si>
  <si>
    <t>积极协助团委老师完成相关工作，积极组织团支部活动，2017年秋冬学期开展三月学雷锋志愿活动；参加浙大大学生茶艺大赛获团体创新银奖</t>
  </si>
  <si>
    <t>王英</t>
  </si>
  <si>
    <t>2018年昆虫所迎新晚会，院合唱比赛</t>
  </si>
  <si>
    <t>21716177</t>
  </si>
  <si>
    <t>李浦东</t>
  </si>
  <si>
    <t>SCI1(2,IF=1.168)</t>
  </si>
  <si>
    <t>生物所研究生第四团支部宣传委员</t>
  </si>
  <si>
    <t>常云云</t>
  </si>
  <si>
    <t>担任班级心理委员，完成心理委员培训，获得结业证，积极参加研究所、学院等组织的学术文体等集体活动。</t>
  </si>
  <si>
    <t>施伊晟</t>
  </si>
  <si>
    <t>研博会主席</t>
  </si>
  <si>
    <t>春博会、研究生学术节、2018级研究生新生入学、新生训练营志愿者</t>
  </si>
  <si>
    <t>谢宁宁</t>
  </si>
  <si>
    <t>乌克兰国际志愿者，龙湖精英地产挑战赛第一名，金地地产挑战赛第三名</t>
  </si>
  <si>
    <t>胡雨晴</t>
  </si>
  <si>
    <t>农学院职业发展中心干事</t>
  </si>
  <si>
    <t>张钰婕</t>
  </si>
  <si>
    <t>陈烨芝</t>
  </si>
  <si>
    <t>2017年5月云栖大会志愿者、2016年校级最佳现场一等奖、2016年全国植保大会志愿者、2016-2017 献血车志愿者、2017年7-8月参加了台湾的暑期交流项目</t>
  </si>
  <si>
    <t>方芳</t>
  </si>
  <si>
    <t>获2018农学院优秀大学生夏令营“杰出志愿者”称号、2018年5月-8月参加学校组织的2018PATTA科普宣讲活动</t>
  </si>
  <si>
    <t>闵芮涵</t>
  </si>
  <si>
    <t>中国风景园林大会志愿者
浙江大学博物馆导览组志愿者
国际名校龙舟争霸赛斯坦福大学交流志愿者
杭州湖墅学校赠书活动志愿者、浙大校团委礼仪队宣传部、农学院新生合唱比赛园林所领唱</t>
  </si>
  <si>
    <t>郑姣</t>
  </si>
  <si>
    <t>1.浙江大学经管院“乡村振兴”项目浙江地区暑期社会实践活动   2.全国第四次经济普查辽宁大连地区调研    3.2017年浙江大学“三好杯”健美操比赛团体二等奖   4.农学院“侬说”系列活动摄影比赛特等奖</t>
  </si>
  <si>
    <t>王诗文</t>
  </si>
  <si>
    <t>章约非</t>
  </si>
  <si>
    <t>孟兆祯院士学术思想论坛志愿者</t>
  </si>
  <si>
    <t>吴挺</t>
  </si>
  <si>
    <t>校研究生会文艺部成员、党支部宣传委员</t>
  </si>
  <si>
    <t>策划和筹办了玉泉跨年晚会、永谦之星校园歌手大赛和开学典礼。参与了第三届“筱祥杯”浙江省风景园林大学生设计竞赛的筹备和统分。参与了园艺疗法研究和康复景观设计李树华老师讲座的筹备。参与了农学院与子三广场的设计改造。参与了ideashow全国校园创业大赛的赛制筹备和现场机动。</t>
  </si>
  <si>
    <t>刘欣冉</t>
  </si>
  <si>
    <t>生物所研究生第四党支部宣传委员</t>
  </si>
  <si>
    <t>2018在湖南武冈参加精准扶贫暑期社会实践。</t>
  </si>
  <si>
    <t>林翔天</t>
  </si>
  <si>
    <t>2018年毅行、农学院合唱比赛、昆虫所迎新晚会、农学院迎新晚会</t>
  </si>
  <si>
    <t>高雪婧</t>
  </si>
  <si>
    <t>SCI1(2,IF=1.798), 核心1(1)</t>
    <phoneticPr fontId="2" type="noConversion"/>
  </si>
  <si>
    <t>专利1(除导师外1)</t>
    <phoneticPr fontId="2" type="noConversion"/>
  </si>
  <si>
    <r>
      <t>SCI2(1,IF=4.879,</t>
    </r>
    <r>
      <rPr>
        <sz val="11"/>
        <color theme="1"/>
        <rFont val="宋体"/>
        <family val="3"/>
        <charset val="134"/>
        <scheme val="minor"/>
      </rPr>
      <t>3.791)</t>
    </r>
    <phoneticPr fontId="3" type="noConversion"/>
  </si>
  <si>
    <r>
      <t>SCI1</t>
    </r>
    <r>
      <rPr>
        <sz val="11"/>
        <color theme="1"/>
        <rFont val="宋体"/>
        <family val="3"/>
        <charset val="134"/>
        <scheme val="minor"/>
      </rPr>
      <t>(1，IF=4.234)</t>
    </r>
    <phoneticPr fontId="3" type="noConversion"/>
  </si>
  <si>
    <r>
      <t>SCI2</t>
    </r>
    <r>
      <rPr>
        <sz val="11"/>
        <color theme="1"/>
        <rFont val="宋体"/>
        <family val="3"/>
        <charset val="134"/>
        <scheme val="minor"/>
      </rPr>
      <t>(2,IF=7.833,5.462)</t>
    </r>
    <phoneticPr fontId="3" type="noConversion"/>
  </si>
  <si>
    <r>
      <t>SCI1(共1排1,</t>
    </r>
    <r>
      <rPr>
        <sz val="11"/>
        <color theme="1"/>
        <rFont val="宋体"/>
        <family val="3"/>
        <charset val="134"/>
        <scheme val="minor"/>
      </rPr>
      <t>IF=3.878)</t>
    </r>
    <phoneticPr fontId="3" type="noConversion"/>
  </si>
  <si>
    <r>
      <t>SCI1</t>
    </r>
    <r>
      <rPr>
        <sz val="11"/>
        <color theme="1"/>
        <rFont val="宋体"/>
        <family val="3"/>
        <charset val="134"/>
        <scheme val="minor"/>
      </rPr>
      <t>(2,IF=6.044),一级1（1）</t>
    </r>
    <phoneticPr fontId="3" type="noConversion"/>
  </si>
  <si>
    <r>
      <t>SCI2(1,</t>
    </r>
    <r>
      <rPr>
        <sz val="11"/>
        <color theme="1"/>
        <rFont val="宋体"/>
        <family val="3"/>
        <charset val="134"/>
        <scheme val="minor"/>
      </rPr>
      <t>IF=0.982</t>
    </r>
    <r>
      <rPr>
        <sz val="12"/>
        <rFont val="宋体"/>
        <family val="3"/>
        <charset val="134"/>
      </rPr>
      <t>,</t>
    </r>
    <r>
      <rPr>
        <sz val="11"/>
        <color theme="1"/>
        <rFont val="宋体"/>
        <family val="3"/>
        <charset val="134"/>
        <scheme val="minor"/>
      </rPr>
      <t>1.082)</t>
    </r>
    <phoneticPr fontId="3" type="noConversion"/>
  </si>
  <si>
    <r>
      <t>SCI1(2,</t>
    </r>
    <r>
      <rPr>
        <sz val="11"/>
        <color theme="1"/>
        <rFont val="宋体"/>
        <family val="3"/>
        <charset val="134"/>
        <scheme val="minor"/>
      </rPr>
      <t>IF=6.044)</t>
    </r>
    <phoneticPr fontId="3" type="noConversion"/>
  </si>
  <si>
    <r>
      <t>SCI1</t>
    </r>
    <r>
      <rPr>
        <sz val="11"/>
        <color theme="1"/>
        <rFont val="宋体"/>
        <family val="3"/>
        <charset val="134"/>
        <scheme val="minor"/>
      </rPr>
      <t>(1,IF=1.149)</t>
    </r>
    <phoneticPr fontId="3" type="noConversion"/>
  </si>
  <si>
    <r>
      <t>SCI1(共1</t>
    </r>
    <r>
      <rPr>
        <sz val="11"/>
        <color theme="1"/>
        <rFont val="宋体"/>
        <family val="3"/>
        <charset val="134"/>
        <scheme val="minor"/>
      </rPr>
      <t>排2,IF=4.257)</t>
    </r>
    <phoneticPr fontId="3" type="noConversion"/>
  </si>
  <si>
    <r>
      <t>核心1(1</t>
    </r>
    <r>
      <rPr>
        <sz val="11"/>
        <color theme="1"/>
        <rFont val="宋体"/>
        <family val="3"/>
        <charset val="134"/>
        <scheme val="minor"/>
      </rPr>
      <t>)</t>
    </r>
    <phoneticPr fontId="3" type="noConversion"/>
  </si>
  <si>
    <r>
      <t>SCI1（2，IF=4.603</t>
    </r>
    <r>
      <rPr>
        <sz val="11"/>
        <color theme="1"/>
        <rFont val="宋体"/>
        <family val="3"/>
        <charset val="134"/>
        <scheme val="minor"/>
      </rPr>
      <t>）</t>
    </r>
    <phoneticPr fontId="3" type="noConversion"/>
  </si>
  <si>
    <t>优研</t>
    <phoneticPr fontId="2" type="noConversion"/>
  </si>
  <si>
    <t>优干</t>
    <phoneticPr fontId="2" type="noConversion"/>
  </si>
  <si>
    <t>优研、三好、优干</t>
    <phoneticPr fontId="2" type="noConversion"/>
  </si>
  <si>
    <t>优研、三好</t>
    <phoneticPr fontId="2" type="noConversion"/>
  </si>
  <si>
    <t>黄静雯</t>
    <phoneticPr fontId="2" type="noConversion"/>
  </si>
  <si>
    <r>
      <t>SCI1(</t>
    </r>
    <r>
      <rPr>
        <sz val="11"/>
        <color theme="1"/>
        <rFont val="宋体"/>
        <family val="3"/>
        <charset val="134"/>
        <scheme val="minor"/>
      </rPr>
      <t>2,IF=1.855）</t>
    </r>
    <phoneticPr fontId="3" type="noConversion"/>
  </si>
  <si>
    <t>优干</t>
    <phoneticPr fontId="2" type="noConversion"/>
  </si>
  <si>
    <t>竺可桢奖学金、国家奖学金</t>
    <phoneticPr fontId="2" type="noConversion"/>
  </si>
  <si>
    <t>杨咏曼奖学金</t>
    <phoneticPr fontId="3" type="noConversion"/>
  </si>
  <si>
    <t>黄子源奖学金</t>
    <phoneticPr fontId="3" type="noConversion"/>
  </si>
  <si>
    <t>优干</t>
    <phoneticPr fontId="2" type="noConversion"/>
  </si>
  <si>
    <t>优研</t>
    <phoneticPr fontId="2" type="noConversion"/>
  </si>
  <si>
    <t>发明专利第一作者1篇</t>
    <phoneticPr fontId="2" type="noConversion"/>
  </si>
  <si>
    <t>优干</t>
    <phoneticPr fontId="2" type="noConversion"/>
  </si>
  <si>
    <t>优研</t>
    <phoneticPr fontId="2" type="noConversion"/>
  </si>
  <si>
    <t>优研</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</si>
</sst>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00_);[Red]\(0.00\)"/>
    <numFmt numFmtId="178" formatCode="0_ "/>
    <numFmt numFmtId="179" formatCode="0.0_ "/>
  </numFmts>
  <fonts count="11" x14ac:knownFonts="1">
    <font>
      <sz val="11"/>
      <color theme="1"/>
      <name val="宋体"/>
      <family val="2"/>
      <scheme val="minor"/>
    </font>
    <font>
      <b/>
      <sz val="12"/>
      <name val="宋体"/>
      <family val="3"/>
      <charset val="134"/>
    </font>
    <font>
      <sz val="9"/>
      <name val="宋体"/>
      <family val="3"/>
      <charset val="134"/>
      <scheme val="minor"/>
    </font>
    <font>
      <sz val="9"/>
      <name val="宋体"/>
      <family val="3"/>
      <charset val="134"/>
    </font>
    <font>
      <b/>
      <sz val="11"/>
      <color theme="1"/>
      <name val="宋体"/>
      <family val="3"/>
      <charset val="134"/>
      <scheme val="minor"/>
    </font>
    <font>
      <b/>
      <sz val="10"/>
      <name val="宋体"/>
      <family val="3"/>
      <charset val="134"/>
    </font>
    <font>
      <sz val="12"/>
      <name val="宋体"/>
      <family val="3"/>
      <charset val="134"/>
    </font>
    <font>
      <sz val="11"/>
      <color theme="1"/>
      <name val="宋体"/>
      <family val="3"/>
      <charset val="134"/>
      <scheme val="minor"/>
    </font>
    <font>
      <sz val="9"/>
      <color theme="1"/>
      <name val="宋体"/>
      <family val="3"/>
      <charset val="134"/>
      <scheme val="minor"/>
    </font>
    <font>
      <sz val="12"/>
      <color rgb="FFFF0000"/>
      <name val="宋体"/>
      <family val="3"/>
      <charset val="134"/>
    </font>
    <font>
      <sz val="8"/>
      <name val="宋体"/>
      <family val="3"/>
      <charset val="134"/>
    </font>
  </fonts>
  <fills count="8">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1">
    <xf numFmtId="0" fontId="0" fillId="0" borderId="0" xfId="0"/>
    <xf numFmtId="0" fontId="1" fillId="0" borderId="1" xfId="0" applyFont="1" applyBorder="1" applyAlignment="1">
      <alignment horizontal="left" vertical="center" wrapText="1"/>
    </xf>
    <xf numFmtId="176" fontId="1" fillId="0" borderId="1" xfId="0" applyNumberFormat="1" applyFont="1" applyBorder="1" applyAlignment="1">
      <alignment horizontal="left" vertical="center" wrapText="1"/>
    </xf>
    <xf numFmtId="177" fontId="1" fillId="0" borderId="1" xfId="0" applyNumberFormat="1" applyFont="1" applyBorder="1" applyAlignment="1">
      <alignment horizontal="left" vertical="center" wrapText="1"/>
    </xf>
    <xf numFmtId="0" fontId="1" fillId="0" borderId="0" xfId="0" applyFont="1" applyAlignment="1">
      <alignment horizontal="left" vertical="center" wrapText="1"/>
    </xf>
    <xf numFmtId="0" fontId="4" fillId="0" borderId="0" xfId="0" applyFont="1"/>
    <xf numFmtId="0" fontId="5" fillId="0" borderId="1" xfId="0" applyFont="1" applyBorder="1" applyAlignment="1">
      <alignment horizontal="left" vertical="center" wrapText="1"/>
    </xf>
    <xf numFmtId="0" fontId="7" fillId="0" borderId="0" xfId="0" applyFont="1"/>
    <xf numFmtId="0" fontId="7" fillId="2" borderId="1" xfId="0" applyFont="1" applyFill="1" applyBorder="1" applyAlignment="1">
      <alignment horizontal="left" vertical="center"/>
    </xf>
    <xf numFmtId="0" fontId="7" fillId="2" borderId="1" xfId="0" applyFont="1" applyFill="1" applyBorder="1" applyAlignment="1">
      <alignment horizontal="left" vertical="center" wrapText="1"/>
    </xf>
    <xf numFmtId="2" fontId="7" fillId="2" borderId="1" xfId="0" applyNumberFormat="1" applyFont="1" applyFill="1" applyBorder="1" applyAlignment="1">
      <alignment horizontal="left" vertical="center"/>
    </xf>
    <xf numFmtId="176" fontId="7" fillId="2" borderId="1" xfId="0" applyNumberFormat="1" applyFont="1" applyFill="1" applyBorder="1" applyAlignment="1">
      <alignment horizontal="left" vertical="center"/>
    </xf>
    <xf numFmtId="0" fontId="7" fillId="0" borderId="0" xfId="0" applyFont="1" applyAlignment="1">
      <alignment horizontal="left" vertical="center"/>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177" fontId="7" fillId="2" borderId="1" xfId="0" applyNumberFormat="1" applyFont="1" applyFill="1" applyBorder="1" applyAlignment="1">
      <alignment horizontal="left" vertical="center"/>
    </xf>
    <xf numFmtId="49" fontId="7" fillId="2" borderId="1" xfId="0" applyNumberFormat="1" applyFont="1" applyFill="1" applyBorder="1" applyAlignment="1">
      <alignment horizontal="left" vertical="center"/>
    </xf>
    <xf numFmtId="178" fontId="7" fillId="2" borderId="1" xfId="0" applyNumberFormat="1" applyFont="1" applyFill="1" applyBorder="1" applyAlignment="1">
      <alignment horizontal="left" vertical="center"/>
    </xf>
    <xf numFmtId="0" fontId="8" fillId="2" borderId="1" xfId="0" applyFont="1" applyFill="1" applyBorder="1" applyAlignment="1">
      <alignment horizontal="left" vertical="center"/>
    </xf>
    <xf numFmtId="0" fontId="9" fillId="2" borderId="1" xfId="0" applyFont="1" applyFill="1" applyBorder="1" applyAlignment="1">
      <alignment horizontal="left" vertical="center" wrapText="1"/>
    </xf>
    <xf numFmtId="0" fontId="6" fillId="0" borderId="0" xfId="0" applyFont="1" applyAlignment="1">
      <alignment horizontal="left" vertical="center"/>
    </xf>
    <xf numFmtId="0" fontId="9" fillId="2" borderId="1" xfId="0" applyFont="1" applyFill="1" applyBorder="1" applyAlignment="1">
      <alignment horizontal="left" vertical="center"/>
    </xf>
    <xf numFmtId="0" fontId="7" fillId="3" borderId="1" xfId="0" applyFont="1" applyFill="1" applyBorder="1" applyAlignment="1">
      <alignment horizontal="left" vertical="center"/>
    </xf>
    <xf numFmtId="0" fontId="7" fillId="3" borderId="1" xfId="0" applyFont="1" applyFill="1" applyBorder="1" applyAlignment="1">
      <alignment horizontal="left" vertical="center" wrapText="1"/>
    </xf>
    <xf numFmtId="2" fontId="7" fillId="3" borderId="1" xfId="0" applyNumberFormat="1" applyFont="1" applyFill="1" applyBorder="1" applyAlignment="1">
      <alignment horizontal="left" vertical="center"/>
    </xf>
    <xf numFmtId="176" fontId="7" fillId="3" borderId="1" xfId="0" applyNumberFormat="1" applyFont="1" applyFill="1" applyBorder="1" applyAlignment="1">
      <alignment horizontal="left" vertical="center"/>
    </xf>
    <xf numFmtId="0" fontId="6" fillId="3" borderId="1" xfId="0" applyFont="1" applyFill="1" applyBorder="1" applyAlignment="1">
      <alignment horizontal="left" vertical="center" wrapText="1"/>
    </xf>
    <xf numFmtId="177" fontId="7" fillId="3" borderId="1" xfId="0" applyNumberFormat="1" applyFont="1" applyFill="1" applyBorder="1" applyAlignment="1">
      <alignment horizontal="left" vertical="center"/>
    </xf>
    <xf numFmtId="0" fontId="9" fillId="3" borderId="1" xfId="0" applyFont="1" applyFill="1" applyBorder="1" applyAlignment="1">
      <alignment horizontal="left" vertical="center" wrapText="1"/>
    </xf>
    <xf numFmtId="49" fontId="7" fillId="3" borderId="1" xfId="0" applyNumberFormat="1" applyFont="1" applyFill="1" applyBorder="1" applyAlignment="1">
      <alignment horizontal="left" vertical="center"/>
    </xf>
    <xf numFmtId="178" fontId="7" fillId="3" borderId="1" xfId="0" applyNumberFormat="1" applyFont="1" applyFill="1" applyBorder="1" applyAlignment="1">
      <alignment horizontal="left" vertical="center"/>
    </xf>
    <xf numFmtId="0" fontId="9" fillId="3" borderId="1" xfId="0" applyFont="1" applyFill="1" applyBorder="1" applyAlignment="1">
      <alignment horizontal="left" vertical="center"/>
    </xf>
    <xf numFmtId="0" fontId="7" fillId="4" borderId="1" xfId="0" applyFont="1" applyFill="1" applyBorder="1" applyAlignment="1">
      <alignment horizontal="left" vertical="center"/>
    </xf>
    <xf numFmtId="0" fontId="7" fillId="4" borderId="1" xfId="0" applyFont="1" applyFill="1" applyBorder="1" applyAlignment="1">
      <alignment horizontal="left" vertical="center" wrapText="1"/>
    </xf>
    <xf numFmtId="2" fontId="7" fillId="4" borderId="1" xfId="0" applyNumberFormat="1" applyFont="1" applyFill="1" applyBorder="1" applyAlignment="1">
      <alignment horizontal="left" vertical="center"/>
    </xf>
    <xf numFmtId="176" fontId="7" fillId="4" borderId="1" xfId="0" applyNumberFormat="1" applyFont="1" applyFill="1" applyBorder="1" applyAlignment="1">
      <alignment horizontal="left"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left" vertical="center"/>
    </xf>
    <xf numFmtId="177" fontId="7" fillId="4" borderId="1" xfId="0" applyNumberFormat="1" applyFont="1" applyFill="1" applyBorder="1" applyAlignment="1">
      <alignment horizontal="left" vertical="center"/>
    </xf>
    <xf numFmtId="49" fontId="7" fillId="4" borderId="1" xfId="0" applyNumberFormat="1" applyFont="1" applyFill="1" applyBorder="1" applyAlignment="1">
      <alignment horizontal="left" vertical="center"/>
    </xf>
    <xf numFmtId="0" fontId="9" fillId="4" borderId="1" xfId="0" applyFont="1" applyFill="1" applyBorder="1" applyAlignment="1">
      <alignment horizontal="left" vertical="center"/>
    </xf>
    <xf numFmtId="0" fontId="9" fillId="4" borderId="1" xfId="0" applyFont="1" applyFill="1" applyBorder="1" applyAlignment="1">
      <alignment horizontal="left" vertical="center" wrapText="1"/>
    </xf>
    <xf numFmtId="0" fontId="7" fillId="5" borderId="1" xfId="0" applyFont="1" applyFill="1" applyBorder="1" applyAlignment="1">
      <alignment horizontal="left" vertical="center"/>
    </xf>
    <xf numFmtId="0" fontId="7" fillId="5" borderId="1" xfId="0" applyFont="1" applyFill="1" applyBorder="1" applyAlignment="1">
      <alignment horizontal="left" vertical="center" wrapText="1"/>
    </xf>
    <xf numFmtId="2" fontId="7" fillId="5" borderId="1" xfId="0" applyNumberFormat="1" applyFont="1" applyFill="1" applyBorder="1" applyAlignment="1">
      <alignment horizontal="left" vertical="center"/>
    </xf>
    <xf numFmtId="177" fontId="7" fillId="5" borderId="1" xfId="0" applyNumberFormat="1" applyFont="1" applyFill="1" applyBorder="1" applyAlignment="1">
      <alignment horizontal="left" vertical="center"/>
    </xf>
    <xf numFmtId="176" fontId="7" fillId="5" borderId="1" xfId="0" applyNumberFormat="1" applyFont="1" applyFill="1" applyBorder="1" applyAlignment="1">
      <alignment horizontal="left" vertical="center"/>
    </xf>
    <xf numFmtId="0" fontId="6" fillId="5" borderId="1" xfId="0" applyFont="1" applyFill="1" applyBorder="1" applyAlignment="1">
      <alignment horizontal="left" vertical="center" wrapText="1"/>
    </xf>
    <xf numFmtId="178" fontId="7" fillId="5" borderId="1" xfId="0" applyNumberFormat="1" applyFont="1" applyFill="1" applyBorder="1" applyAlignment="1">
      <alignment horizontal="left" vertical="center"/>
    </xf>
    <xf numFmtId="179" fontId="7" fillId="5" borderId="1" xfId="0" applyNumberFormat="1" applyFont="1" applyFill="1" applyBorder="1" applyAlignment="1">
      <alignment horizontal="left" vertical="center"/>
    </xf>
    <xf numFmtId="49" fontId="7" fillId="5" borderId="1" xfId="0" applyNumberFormat="1" applyFont="1" applyFill="1" applyBorder="1" applyAlignment="1">
      <alignment horizontal="left" vertical="center"/>
    </xf>
    <xf numFmtId="0" fontId="9" fillId="5" borderId="1" xfId="0" applyFont="1" applyFill="1" applyBorder="1" applyAlignment="1">
      <alignment horizontal="left" vertical="center" wrapText="1"/>
    </xf>
    <xf numFmtId="0" fontId="9" fillId="5" borderId="1" xfId="0" applyFont="1" applyFill="1" applyBorder="1" applyAlignment="1">
      <alignment horizontal="left" vertical="center"/>
    </xf>
    <xf numFmtId="0" fontId="7" fillId="6" borderId="1" xfId="0" applyFont="1" applyFill="1" applyBorder="1" applyAlignment="1">
      <alignment horizontal="left" vertical="center"/>
    </xf>
    <xf numFmtId="0" fontId="7" fillId="6" borderId="1" xfId="0" applyFont="1" applyFill="1" applyBorder="1" applyAlignment="1">
      <alignment horizontal="left" vertical="center" wrapText="1"/>
    </xf>
    <xf numFmtId="2" fontId="7" fillId="6" borderId="1" xfId="0" applyNumberFormat="1" applyFont="1" applyFill="1" applyBorder="1" applyAlignment="1">
      <alignment horizontal="left" vertical="center"/>
    </xf>
    <xf numFmtId="176" fontId="7" fillId="6" borderId="1" xfId="0" applyNumberFormat="1" applyFont="1" applyFill="1" applyBorder="1" applyAlignment="1">
      <alignment horizontal="left" vertical="center"/>
    </xf>
    <xf numFmtId="177" fontId="7" fillId="6" borderId="1" xfId="0" applyNumberFormat="1" applyFont="1" applyFill="1" applyBorder="1" applyAlignment="1">
      <alignment horizontal="left" vertical="center"/>
    </xf>
    <xf numFmtId="0" fontId="6" fillId="6" borderId="1" xfId="0" applyFont="1" applyFill="1" applyBorder="1" applyAlignment="1">
      <alignment horizontal="left" vertical="center" wrapText="1"/>
    </xf>
    <xf numFmtId="0" fontId="9" fillId="6" borderId="1" xfId="0" applyFont="1" applyFill="1" applyBorder="1" applyAlignment="1">
      <alignment horizontal="left" vertical="center"/>
    </xf>
    <xf numFmtId="49" fontId="7" fillId="6" borderId="1" xfId="0" applyNumberFormat="1" applyFont="1" applyFill="1" applyBorder="1" applyAlignment="1">
      <alignment horizontal="left" vertical="center"/>
    </xf>
    <xf numFmtId="0" fontId="9" fillId="6" borderId="1" xfId="0" applyFont="1" applyFill="1" applyBorder="1" applyAlignment="1">
      <alignment horizontal="left" vertical="center" wrapText="1"/>
    </xf>
    <xf numFmtId="0" fontId="10" fillId="6" borderId="1" xfId="0" applyFont="1" applyFill="1" applyBorder="1" applyAlignment="1">
      <alignment horizontal="left" vertical="center"/>
    </xf>
    <xf numFmtId="0" fontId="7" fillId="7" borderId="1" xfId="0" applyFont="1" applyFill="1" applyBorder="1" applyAlignment="1">
      <alignment horizontal="left" vertical="center"/>
    </xf>
    <xf numFmtId="0" fontId="7" fillId="7" borderId="1" xfId="0" applyFont="1" applyFill="1" applyBorder="1" applyAlignment="1">
      <alignment horizontal="left" vertical="center" wrapText="1"/>
    </xf>
    <xf numFmtId="2" fontId="7" fillId="7" borderId="1" xfId="0" applyNumberFormat="1" applyFont="1" applyFill="1" applyBorder="1" applyAlignment="1">
      <alignment horizontal="left" vertical="center"/>
    </xf>
    <xf numFmtId="176" fontId="7" fillId="7" borderId="1" xfId="0" applyNumberFormat="1" applyFont="1" applyFill="1" applyBorder="1" applyAlignment="1">
      <alignment horizontal="left" vertical="center"/>
    </xf>
    <xf numFmtId="178" fontId="7" fillId="7" borderId="1" xfId="0" applyNumberFormat="1" applyFont="1" applyFill="1" applyBorder="1" applyAlignment="1">
      <alignment horizontal="left" vertical="center"/>
    </xf>
    <xf numFmtId="177" fontId="7" fillId="7" borderId="1" xfId="0" applyNumberFormat="1" applyFont="1" applyFill="1" applyBorder="1" applyAlignment="1">
      <alignment horizontal="left" vertical="center"/>
    </xf>
    <xf numFmtId="0" fontId="6" fillId="7" borderId="1" xfId="0" applyFont="1" applyFill="1" applyBorder="1" applyAlignment="1">
      <alignment horizontal="left" vertical="center" wrapText="1"/>
    </xf>
    <xf numFmtId="49" fontId="7" fillId="7" borderId="1" xfId="0" applyNumberFormat="1" applyFont="1" applyFill="1" applyBorder="1" applyAlignment="1">
      <alignment horizontal="left" vertical="center"/>
    </xf>
    <xf numFmtId="0" fontId="9" fillId="7" borderId="1" xfId="0" applyFont="1" applyFill="1" applyBorder="1" applyAlignment="1">
      <alignment horizontal="left" vertical="center" wrapText="1"/>
    </xf>
    <xf numFmtId="0" fontId="7" fillId="0" borderId="0" xfId="0" applyFont="1" applyAlignment="1">
      <alignment wrapText="1"/>
    </xf>
    <xf numFmtId="0" fontId="6" fillId="3" borderId="1" xfId="0" applyFont="1" applyFill="1" applyBorder="1" applyAlignment="1">
      <alignment horizontal="left" vertical="center"/>
    </xf>
    <xf numFmtId="0" fontId="6" fillId="5" borderId="1" xfId="0" applyFont="1" applyFill="1" applyBorder="1" applyAlignment="1">
      <alignment horizontal="left" vertical="center"/>
    </xf>
    <xf numFmtId="0" fontId="6" fillId="7" borderId="1" xfId="0" applyFont="1" applyFill="1" applyBorder="1" applyAlignment="1">
      <alignment horizontal="left" vertical="center"/>
    </xf>
    <xf numFmtId="0" fontId="6" fillId="6" borderId="1" xfId="0" applyFont="1" applyFill="1" applyBorder="1" applyAlignment="1">
      <alignment horizontal="left" vertical="center"/>
    </xf>
    <xf numFmtId="0" fontId="6" fillId="4" borderId="1" xfId="0" applyFont="1" applyFill="1" applyBorder="1" applyAlignment="1">
      <alignment vertical="center"/>
    </xf>
    <xf numFmtId="0" fontId="7" fillId="0" borderId="1" xfId="0" applyFont="1" applyFill="1" applyBorder="1" applyAlignment="1">
      <alignment horizontal="left" vertical="center"/>
    </xf>
    <xf numFmtId="0" fontId="7" fillId="0" borderId="0" xfId="0" applyFont="1" applyFill="1" applyAlignment="1">
      <alignment horizontal="left" vertical="center"/>
    </xf>
    <xf numFmtId="0" fontId="7" fillId="0" borderId="0" xfId="0" applyFont="1" applyFill="1"/>
  </cellXfs>
  <cellStyles count="1">
    <cellStyle name="常规" xfId="0" builtinId="0"/>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63"/>
  <sheetViews>
    <sheetView tabSelected="1" topLeftCell="C1" zoomScale="85" zoomScaleNormal="85" workbookViewId="0">
      <pane ySplit="1" topLeftCell="A271" activePane="bottomLeft" state="frozen"/>
      <selection pane="bottomLeft" activeCell="M287" sqref="M287"/>
    </sheetView>
  </sheetViews>
  <sheetFormatPr defaultRowHeight="14.25" customHeight="1" x14ac:dyDescent="0.25"/>
  <cols>
    <col min="1" max="1" width="8.88671875" style="7"/>
    <col min="2" max="2" width="16.33203125" style="7" customWidth="1"/>
    <col min="3" max="3" width="11.88671875" style="7" customWidth="1"/>
    <col min="4" max="5" width="8.88671875" style="7"/>
    <col min="6" max="6" width="6.44140625" style="7" customWidth="1"/>
    <col min="7" max="7" width="6.77734375" style="7" customWidth="1"/>
    <col min="8" max="10" width="8.88671875" style="7"/>
    <col min="11" max="11" width="45.77734375" style="72" customWidth="1"/>
    <col min="12" max="12" width="11.21875" style="7" customWidth="1"/>
    <col min="13" max="14" width="8.88671875" style="7"/>
    <col min="15" max="15" width="8.88671875" style="72"/>
    <col min="16" max="16" width="7.33203125" style="7" customWidth="1"/>
    <col min="17" max="17" width="8.88671875" style="72"/>
    <col min="18" max="18" width="8.88671875" style="7"/>
    <col min="19" max="19" width="11.21875" style="7" customWidth="1"/>
    <col min="20" max="20" width="10.5546875" style="7" customWidth="1"/>
    <col min="21" max="21" width="11.109375" style="7" customWidth="1"/>
    <col min="22" max="16384" width="8.88671875" style="7"/>
  </cols>
  <sheetData>
    <row r="1" spans="1:23" s="5" customFormat="1" ht="39" customHeight="1" x14ac:dyDescent="0.25">
      <c r="A1" s="1" t="s">
        <v>0</v>
      </c>
      <c r="B1" s="1" t="s">
        <v>1</v>
      </c>
      <c r="C1" s="1" t="s">
        <v>2</v>
      </c>
      <c r="D1" s="1" t="s">
        <v>3</v>
      </c>
      <c r="E1" s="1" t="s">
        <v>4</v>
      </c>
      <c r="F1" s="1" t="s">
        <v>5</v>
      </c>
      <c r="G1" s="1" t="s">
        <v>6</v>
      </c>
      <c r="H1" s="1" t="s">
        <v>7</v>
      </c>
      <c r="I1" s="2" t="s">
        <v>8</v>
      </c>
      <c r="J1" s="1" t="s">
        <v>9</v>
      </c>
      <c r="K1" s="1" t="s">
        <v>10</v>
      </c>
      <c r="L1" s="1" t="s">
        <v>11</v>
      </c>
      <c r="M1" s="1" t="s">
        <v>12</v>
      </c>
      <c r="N1" s="2" t="s">
        <v>13</v>
      </c>
      <c r="O1" s="1" t="s">
        <v>14</v>
      </c>
      <c r="P1" s="6" t="s">
        <v>15</v>
      </c>
      <c r="Q1" s="1" t="s">
        <v>16</v>
      </c>
      <c r="R1" s="1" t="s">
        <v>17</v>
      </c>
      <c r="S1" s="3" t="s">
        <v>18</v>
      </c>
      <c r="T1" s="1" t="s">
        <v>19</v>
      </c>
      <c r="U1" s="2" t="s">
        <v>20</v>
      </c>
      <c r="V1" s="1" t="s">
        <v>21</v>
      </c>
      <c r="W1" s="4"/>
    </row>
    <row r="2" spans="1:23" ht="14.25" customHeight="1" x14ac:dyDescent="0.25">
      <c r="A2" s="8" t="s">
        <v>22</v>
      </c>
      <c r="B2" s="8" t="s">
        <v>23</v>
      </c>
      <c r="C2" s="8">
        <v>11616015</v>
      </c>
      <c r="D2" s="8" t="s">
        <v>24</v>
      </c>
      <c r="E2" s="8" t="s">
        <v>25</v>
      </c>
      <c r="F2" s="8" t="s">
        <v>26</v>
      </c>
      <c r="G2" s="8" t="s">
        <v>27</v>
      </c>
      <c r="H2" s="8"/>
      <c r="I2" s="8"/>
      <c r="J2" s="8" t="s">
        <v>28</v>
      </c>
      <c r="K2" s="9" t="s">
        <v>29</v>
      </c>
      <c r="L2" s="8"/>
      <c r="M2" s="8">
        <f>7*6.513+7*4.984+2*5.291</f>
        <v>91.061000000000007</v>
      </c>
      <c r="N2" s="10">
        <f t="shared" ref="N2:N66" si="0">M2/91.061*100</f>
        <v>100</v>
      </c>
      <c r="O2" s="9"/>
      <c r="P2" s="8">
        <v>0</v>
      </c>
      <c r="Q2" s="9" t="s">
        <v>30</v>
      </c>
      <c r="R2" s="8">
        <v>88</v>
      </c>
      <c r="S2" s="11">
        <f>R2/90*100</f>
        <v>97.777777777777771</v>
      </c>
      <c r="T2" s="8" t="s">
        <v>31</v>
      </c>
      <c r="U2" s="10">
        <f t="shared" ref="U2:U66" si="1">0.8*N2+0.2*(P2+0.9*S2)</f>
        <v>97.6</v>
      </c>
      <c r="V2" s="8">
        <v>1</v>
      </c>
      <c r="W2" s="12"/>
    </row>
    <row r="3" spans="1:23" ht="14.25" customHeight="1" x14ac:dyDescent="0.25">
      <c r="A3" s="8" t="s">
        <v>32</v>
      </c>
      <c r="B3" s="8" t="s">
        <v>23</v>
      </c>
      <c r="C3" s="8">
        <v>11816089</v>
      </c>
      <c r="D3" s="8" t="s">
        <v>33</v>
      </c>
      <c r="E3" s="8" t="s">
        <v>25</v>
      </c>
      <c r="F3" s="8" t="s">
        <v>26</v>
      </c>
      <c r="G3" s="8" t="s">
        <v>27</v>
      </c>
      <c r="H3" s="8"/>
      <c r="I3" s="8"/>
      <c r="J3" s="8" t="s">
        <v>34</v>
      </c>
      <c r="K3" s="9" t="s">
        <v>35</v>
      </c>
      <c r="L3" s="8"/>
      <c r="M3" s="8">
        <f>6.957*7+4.964*7</f>
        <v>83.447000000000003</v>
      </c>
      <c r="N3" s="10">
        <f t="shared" si="0"/>
        <v>91.638571946277764</v>
      </c>
      <c r="O3" s="9"/>
      <c r="P3" s="8">
        <v>0</v>
      </c>
      <c r="Q3" s="9" t="s">
        <v>36</v>
      </c>
      <c r="R3" s="8">
        <v>89</v>
      </c>
      <c r="S3" s="10">
        <f>R3/89*100</f>
        <v>100</v>
      </c>
      <c r="T3" s="8" t="s">
        <v>31</v>
      </c>
      <c r="U3" s="10">
        <f t="shared" si="1"/>
        <v>91.310857557022217</v>
      </c>
      <c r="V3" s="8">
        <v>2</v>
      </c>
      <c r="W3" s="12"/>
    </row>
    <row r="4" spans="1:23" ht="14.25" customHeight="1" x14ac:dyDescent="0.25">
      <c r="A4" s="8" t="s">
        <v>22</v>
      </c>
      <c r="B4" s="13" t="s">
        <v>37</v>
      </c>
      <c r="C4" s="8">
        <v>11616085</v>
      </c>
      <c r="D4" s="8" t="s">
        <v>38</v>
      </c>
      <c r="E4" s="8" t="s">
        <v>25</v>
      </c>
      <c r="F4" s="8" t="s">
        <v>26</v>
      </c>
      <c r="G4" s="8" t="s">
        <v>27</v>
      </c>
      <c r="H4" s="8"/>
      <c r="I4" s="8"/>
      <c r="J4" s="8" t="s">
        <v>28</v>
      </c>
      <c r="K4" s="14" t="s">
        <v>39</v>
      </c>
      <c r="L4" s="8"/>
      <c r="M4" s="8">
        <f>7*5.291+7*4.551</f>
        <v>68.894000000000005</v>
      </c>
      <c r="N4" s="10">
        <f t="shared" si="0"/>
        <v>75.656977191113654</v>
      </c>
      <c r="O4" s="9"/>
      <c r="P4" s="8">
        <v>0</v>
      </c>
      <c r="Q4" s="9"/>
      <c r="R4" s="8">
        <v>84</v>
      </c>
      <c r="S4" s="11">
        <f>R4/90*100</f>
        <v>93.333333333333329</v>
      </c>
      <c r="T4" s="8" t="s">
        <v>40</v>
      </c>
      <c r="U4" s="10">
        <f t="shared" si="1"/>
        <v>77.325581752890926</v>
      </c>
      <c r="V4" s="8">
        <v>3</v>
      </c>
      <c r="W4" s="12"/>
    </row>
    <row r="5" spans="1:23" ht="14.25" customHeight="1" x14ac:dyDescent="0.25">
      <c r="A5" s="8" t="s">
        <v>41</v>
      </c>
      <c r="B5" s="8" t="s">
        <v>23</v>
      </c>
      <c r="C5" s="8">
        <v>11716001</v>
      </c>
      <c r="D5" s="8" t="s">
        <v>42</v>
      </c>
      <c r="E5" s="8" t="s">
        <v>25</v>
      </c>
      <c r="F5" s="8" t="s">
        <v>26</v>
      </c>
      <c r="G5" s="8" t="s">
        <v>27</v>
      </c>
      <c r="H5" s="8"/>
      <c r="I5" s="8"/>
      <c r="J5" s="8" t="s">
        <v>34</v>
      </c>
      <c r="K5" s="14" t="s">
        <v>995</v>
      </c>
      <c r="L5" s="8"/>
      <c r="M5" s="8">
        <f>4.879*10*0.7+3.791*0.7*10</f>
        <v>60.689999999999991</v>
      </c>
      <c r="N5" s="10">
        <f t="shared" si="0"/>
        <v>66.647631807250079</v>
      </c>
      <c r="O5" s="9" t="s">
        <v>43</v>
      </c>
      <c r="P5" s="8"/>
      <c r="Q5" s="9" t="s">
        <v>44</v>
      </c>
      <c r="R5" s="8">
        <v>83</v>
      </c>
      <c r="S5" s="11">
        <f>R5/89*100</f>
        <v>93.258426966292134</v>
      </c>
      <c r="T5" s="8" t="s">
        <v>31</v>
      </c>
      <c r="U5" s="10">
        <f t="shared" si="1"/>
        <v>70.104622299732654</v>
      </c>
      <c r="V5" s="8">
        <v>4</v>
      </c>
      <c r="W5" s="12"/>
    </row>
    <row r="6" spans="1:23" ht="14.25" customHeight="1" x14ac:dyDescent="0.25">
      <c r="A6" s="8" t="s">
        <v>32</v>
      </c>
      <c r="B6" s="8" t="s">
        <v>23</v>
      </c>
      <c r="C6" s="8">
        <v>11716018</v>
      </c>
      <c r="D6" s="8" t="s">
        <v>45</v>
      </c>
      <c r="E6" s="8" t="s">
        <v>25</v>
      </c>
      <c r="F6" s="8" t="s">
        <v>26</v>
      </c>
      <c r="G6" s="8" t="s">
        <v>27</v>
      </c>
      <c r="H6" s="8"/>
      <c r="I6" s="8"/>
      <c r="J6" s="8" t="s">
        <v>34</v>
      </c>
      <c r="K6" s="9" t="s">
        <v>46</v>
      </c>
      <c r="L6" s="8"/>
      <c r="M6" s="8">
        <f>13.691*4</f>
        <v>54.764000000000003</v>
      </c>
      <c r="N6" s="10">
        <f t="shared" si="0"/>
        <v>60.139906216711871</v>
      </c>
      <c r="O6" s="9"/>
      <c r="P6" s="8">
        <v>0</v>
      </c>
      <c r="Q6" s="9" t="s">
        <v>47</v>
      </c>
      <c r="R6" s="8">
        <v>88</v>
      </c>
      <c r="S6" s="10">
        <f>R6/89*100</f>
        <v>98.876404494382015</v>
      </c>
      <c r="T6" s="8" t="s">
        <v>31</v>
      </c>
      <c r="U6" s="10">
        <f t="shared" si="1"/>
        <v>65.909677782358258</v>
      </c>
      <c r="V6" s="8">
        <v>5</v>
      </c>
      <c r="W6" s="12"/>
    </row>
    <row r="7" spans="1:23" ht="14.25" customHeight="1" x14ac:dyDescent="0.25">
      <c r="A7" s="8" t="s">
        <v>41</v>
      </c>
      <c r="B7" s="13" t="s">
        <v>48</v>
      </c>
      <c r="C7" s="8">
        <v>11716004</v>
      </c>
      <c r="D7" s="8" t="s">
        <v>49</v>
      </c>
      <c r="E7" s="8" t="s">
        <v>25</v>
      </c>
      <c r="F7" s="8" t="s">
        <v>26</v>
      </c>
      <c r="G7" s="8" t="s">
        <v>27</v>
      </c>
      <c r="H7" s="8"/>
      <c r="I7" s="8"/>
      <c r="J7" s="8" t="s">
        <v>28</v>
      </c>
      <c r="K7" s="9" t="s">
        <v>50</v>
      </c>
      <c r="L7" s="8"/>
      <c r="M7" s="8">
        <f>5.154*7+3*3</f>
        <v>45.078000000000003</v>
      </c>
      <c r="N7" s="10">
        <f t="shared" si="0"/>
        <v>49.503080352730592</v>
      </c>
      <c r="O7" s="9"/>
      <c r="P7" s="8"/>
      <c r="Q7" s="9" t="s">
        <v>51</v>
      </c>
      <c r="R7" s="8">
        <v>85</v>
      </c>
      <c r="S7" s="11">
        <f>R7/89*100</f>
        <v>95.50561797752809</v>
      </c>
      <c r="T7" s="8" t="s">
        <v>31</v>
      </c>
      <c r="U7" s="10">
        <f t="shared" si="1"/>
        <v>56.79347551813953</v>
      </c>
      <c r="V7" s="8">
        <v>6</v>
      </c>
      <c r="W7" s="12"/>
    </row>
    <row r="8" spans="1:23" ht="14.25" customHeight="1" x14ac:dyDescent="0.25">
      <c r="A8" s="8" t="s">
        <v>32</v>
      </c>
      <c r="B8" s="13" t="s">
        <v>52</v>
      </c>
      <c r="C8" s="8">
        <v>11616067</v>
      </c>
      <c r="D8" s="8" t="s">
        <v>53</v>
      </c>
      <c r="E8" s="8" t="s">
        <v>25</v>
      </c>
      <c r="F8" s="8" t="s">
        <v>26</v>
      </c>
      <c r="G8" s="8" t="s">
        <v>27</v>
      </c>
      <c r="H8" s="8"/>
      <c r="I8" s="8"/>
      <c r="J8" s="8" t="s">
        <v>28</v>
      </c>
      <c r="K8" s="9" t="s">
        <v>54</v>
      </c>
      <c r="L8" s="8"/>
      <c r="M8" s="8">
        <f>3.469*7+1.19*7*2</f>
        <v>40.942999999999998</v>
      </c>
      <c r="N8" s="10">
        <f t="shared" si="0"/>
        <v>44.962168216909539</v>
      </c>
      <c r="O8" s="9"/>
      <c r="P8" s="8">
        <v>0</v>
      </c>
      <c r="Q8" s="9" t="s">
        <v>55</v>
      </c>
      <c r="R8" s="8">
        <v>87</v>
      </c>
      <c r="S8" s="10">
        <f>R8/89*100</f>
        <v>97.752808988764045</v>
      </c>
      <c r="T8" s="8" t="s">
        <v>31</v>
      </c>
      <c r="U8" s="10">
        <f t="shared" si="1"/>
        <v>53.565240191505161</v>
      </c>
      <c r="V8" s="8">
        <v>7</v>
      </c>
      <c r="W8" s="12"/>
    </row>
    <row r="9" spans="1:23" ht="14.25" customHeight="1" x14ac:dyDescent="0.25">
      <c r="A9" s="8" t="s">
        <v>32</v>
      </c>
      <c r="B9" s="13" t="s">
        <v>56</v>
      </c>
      <c r="C9" s="8">
        <v>11816090</v>
      </c>
      <c r="D9" s="8" t="s">
        <v>57</v>
      </c>
      <c r="E9" s="8" t="s">
        <v>25</v>
      </c>
      <c r="F9" s="8" t="s">
        <v>26</v>
      </c>
      <c r="G9" s="8" t="s">
        <v>27</v>
      </c>
      <c r="H9" s="8"/>
      <c r="I9" s="8"/>
      <c r="J9" s="8" t="s">
        <v>34</v>
      </c>
      <c r="K9" s="9" t="s">
        <v>58</v>
      </c>
      <c r="L9" s="8"/>
      <c r="M9" s="8">
        <f>5.462*7</f>
        <v>38.233999999999995</v>
      </c>
      <c r="N9" s="10">
        <f t="shared" si="0"/>
        <v>41.98723932309111</v>
      </c>
      <c r="O9" s="9"/>
      <c r="P9" s="8">
        <v>0</v>
      </c>
      <c r="Q9" s="9"/>
      <c r="R9" s="8">
        <v>88</v>
      </c>
      <c r="S9" s="10">
        <f>R9/89*100</f>
        <v>98.876404494382015</v>
      </c>
      <c r="T9" s="8" t="s">
        <v>40</v>
      </c>
      <c r="U9" s="10">
        <f t="shared" si="1"/>
        <v>51.387544267461649</v>
      </c>
      <c r="V9" s="8">
        <v>8</v>
      </c>
      <c r="W9" s="12"/>
    </row>
    <row r="10" spans="1:23" ht="13.8" customHeight="1" x14ac:dyDescent="0.25">
      <c r="A10" s="8" t="s">
        <v>59</v>
      </c>
      <c r="B10" s="8" t="s">
        <v>23</v>
      </c>
      <c r="C10" s="8">
        <v>11616011</v>
      </c>
      <c r="D10" s="8" t="s">
        <v>60</v>
      </c>
      <c r="E10" s="8" t="s">
        <v>25</v>
      </c>
      <c r="F10" s="8" t="s">
        <v>26</v>
      </c>
      <c r="G10" s="8" t="s">
        <v>27</v>
      </c>
      <c r="H10" s="8"/>
      <c r="I10" s="8"/>
      <c r="J10" s="8" t="s">
        <v>61</v>
      </c>
      <c r="K10" s="9" t="s">
        <v>62</v>
      </c>
      <c r="L10" s="8" t="s">
        <v>63</v>
      </c>
      <c r="M10" s="8">
        <f>3.685*7+6+6</f>
        <v>37.795000000000002</v>
      </c>
      <c r="N10" s="10">
        <f t="shared" si="0"/>
        <v>41.505144902867308</v>
      </c>
      <c r="O10" s="9"/>
      <c r="P10" s="8">
        <v>0</v>
      </c>
      <c r="Q10" s="9" t="s">
        <v>64</v>
      </c>
      <c r="R10" s="8">
        <v>90</v>
      </c>
      <c r="S10" s="11">
        <f>R10/90*100</f>
        <v>100</v>
      </c>
      <c r="T10" s="8" t="s">
        <v>40</v>
      </c>
      <c r="U10" s="10">
        <f t="shared" si="1"/>
        <v>51.204115922293845</v>
      </c>
      <c r="V10" s="8">
        <v>9</v>
      </c>
      <c r="W10" s="12"/>
    </row>
    <row r="11" spans="1:23" ht="14.25" customHeight="1" x14ac:dyDescent="0.25">
      <c r="A11" s="8" t="s">
        <v>22</v>
      </c>
      <c r="B11" s="8"/>
      <c r="C11" s="8">
        <v>11516082</v>
      </c>
      <c r="D11" s="8" t="s">
        <v>65</v>
      </c>
      <c r="E11" s="8" t="s">
        <v>25</v>
      </c>
      <c r="F11" s="8" t="s">
        <v>26</v>
      </c>
      <c r="G11" s="8" t="s">
        <v>27</v>
      </c>
      <c r="H11" s="8"/>
      <c r="I11" s="8"/>
      <c r="J11" s="8" t="s">
        <v>28</v>
      </c>
      <c r="K11" s="9" t="s">
        <v>66</v>
      </c>
      <c r="L11" s="8"/>
      <c r="M11" s="8">
        <f>7*5.291</f>
        <v>37.037000000000006</v>
      </c>
      <c r="N11" s="10">
        <f t="shared" si="0"/>
        <v>40.672735858380648</v>
      </c>
      <c r="O11" s="9"/>
      <c r="P11" s="8">
        <v>0</v>
      </c>
      <c r="Q11" s="9"/>
      <c r="R11" s="8">
        <v>84</v>
      </c>
      <c r="S11" s="11">
        <f>R11/90*100</f>
        <v>93.333333333333329</v>
      </c>
      <c r="T11" s="8" t="s">
        <v>40</v>
      </c>
      <c r="U11" s="10">
        <f t="shared" si="1"/>
        <v>49.338188686704527</v>
      </c>
      <c r="V11" s="8">
        <v>10</v>
      </c>
      <c r="W11" s="12"/>
    </row>
    <row r="12" spans="1:23" ht="13.8" customHeight="1" x14ac:dyDescent="0.25">
      <c r="A12" s="8" t="s">
        <v>67</v>
      </c>
      <c r="B12" s="8" t="s">
        <v>23</v>
      </c>
      <c r="C12" s="8">
        <v>11416035</v>
      </c>
      <c r="D12" s="8" t="s">
        <v>68</v>
      </c>
      <c r="E12" s="8" t="s">
        <v>25</v>
      </c>
      <c r="F12" s="8" t="s">
        <v>26</v>
      </c>
      <c r="G12" s="8" t="s">
        <v>27</v>
      </c>
      <c r="H12" s="8"/>
      <c r="I12" s="8"/>
      <c r="J12" s="8" t="s">
        <v>28</v>
      </c>
      <c r="K12" s="9" t="s">
        <v>69</v>
      </c>
      <c r="L12" s="8" t="s">
        <v>70</v>
      </c>
      <c r="M12" s="8">
        <f>4.234*7+6</f>
        <v>35.637999999999998</v>
      </c>
      <c r="N12" s="10">
        <f t="shared" si="0"/>
        <v>39.136403070469242</v>
      </c>
      <c r="O12" s="9"/>
      <c r="P12" s="8"/>
      <c r="Q12" s="9"/>
      <c r="R12" s="8">
        <v>90</v>
      </c>
      <c r="S12" s="15">
        <f>R12/90*100</f>
        <v>100</v>
      </c>
      <c r="T12" s="8" t="s">
        <v>40</v>
      </c>
      <c r="U12" s="10">
        <f t="shared" si="1"/>
        <v>49.309122456375391</v>
      </c>
      <c r="V12" s="8">
        <v>11</v>
      </c>
      <c r="W12" s="12"/>
    </row>
    <row r="13" spans="1:23" ht="14.25" customHeight="1" x14ac:dyDescent="0.25">
      <c r="A13" s="8" t="s">
        <v>22</v>
      </c>
      <c r="B13" s="8"/>
      <c r="C13" s="8">
        <v>11416085</v>
      </c>
      <c r="D13" s="8" t="s">
        <v>71</v>
      </c>
      <c r="E13" s="8" t="s">
        <v>25</v>
      </c>
      <c r="F13" s="8" t="s">
        <v>26</v>
      </c>
      <c r="G13" s="8" t="s">
        <v>27</v>
      </c>
      <c r="H13" s="8"/>
      <c r="I13" s="8"/>
      <c r="J13" s="8" t="s">
        <v>28</v>
      </c>
      <c r="K13" s="9" t="s">
        <v>72</v>
      </c>
      <c r="L13" s="8"/>
      <c r="M13" s="8">
        <f>7*4.95</f>
        <v>34.65</v>
      </c>
      <c r="N13" s="10">
        <f t="shared" si="0"/>
        <v>38.051416083724092</v>
      </c>
      <c r="O13" s="9"/>
      <c r="P13" s="8">
        <v>0</v>
      </c>
      <c r="Q13" s="9" t="s">
        <v>30</v>
      </c>
      <c r="R13" s="8">
        <v>86</v>
      </c>
      <c r="S13" s="11">
        <f>R13/90*100</f>
        <v>95.555555555555557</v>
      </c>
      <c r="T13" s="8" t="s">
        <v>40</v>
      </c>
      <c r="U13" s="10">
        <f t="shared" si="1"/>
        <v>47.641132866979277</v>
      </c>
      <c r="V13" s="8">
        <v>12</v>
      </c>
      <c r="W13" s="12"/>
    </row>
    <row r="14" spans="1:23" ht="14.25" customHeight="1" x14ac:dyDescent="0.25">
      <c r="A14" s="8" t="s">
        <v>73</v>
      </c>
      <c r="B14" s="8" t="s">
        <v>23</v>
      </c>
      <c r="C14" s="8">
        <v>11416054</v>
      </c>
      <c r="D14" s="8" t="s">
        <v>74</v>
      </c>
      <c r="E14" s="8" t="s">
        <v>25</v>
      </c>
      <c r="F14" s="8" t="s">
        <v>26</v>
      </c>
      <c r="G14" s="8" t="s">
        <v>27</v>
      </c>
      <c r="H14" s="8"/>
      <c r="I14" s="8"/>
      <c r="J14" s="8" t="s">
        <v>28</v>
      </c>
      <c r="K14" s="9" t="s">
        <v>75</v>
      </c>
      <c r="L14" s="8"/>
      <c r="M14" s="8">
        <f>4.879*7</f>
        <v>34.152999999999999</v>
      </c>
      <c r="N14" s="10">
        <f t="shared" si="0"/>
        <v>37.505628095452494</v>
      </c>
      <c r="O14" s="9"/>
      <c r="P14" s="8">
        <v>0</v>
      </c>
      <c r="Q14" s="9"/>
      <c r="R14" s="8">
        <v>85</v>
      </c>
      <c r="S14" s="11">
        <f>(R14/90)*100</f>
        <v>94.444444444444443</v>
      </c>
      <c r="T14" s="8" t="s">
        <v>40</v>
      </c>
      <c r="U14" s="10">
        <f t="shared" si="1"/>
        <v>47.004502476361992</v>
      </c>
      <c r="V14" s="8">
        <v>13</v>
      </c>
      <c r="W14" s="12"/>
    </row>
    <row r="15" spans="1:23" ht="14.25" customHeight="1" x14ac:dyDescent="0.25">
      <c r="A15" s="8" t="s">
        <v>76</v>
      </c>
      <c r="B15" s="8" t="s">
        <v>23</v>
      </c>
      <c r="C15" s="8">
        <v>11616080</v>
      </c>
      <c r="D15" s="8" t="s">
        <v>77</v>
      </c>
      <c r="E15" s="8" t="s">
        <v>25</v>
      </c>
      <c r="F15" s="8" t="s">
        <v>26</v>
      </c>
      <c r="G15" s="8" t="s">
        <v>27</v>
      </c>
      <c r="H15" s="8"/>
      <c r="I15" s="8"/>
      <c r="J15" s="8" t="s">
        <v>28</v>
      </c>
      <c r="K15" s="9" t="s">
        <v>78</v>
      </c>
      <c r="L15" s="8"/>
      <c r="M15" s="8">
        <f>4.609*7</f>
        <v>32.262999999999998</v>
      </c>
      <c r="N15" s="10">
        <f t="shared" si="0"/>
        <v>35.430096309067544</v>
      </c>
      <c r="O15" s="9" t="s">
        <v>79</v>
      </c>
      <c r="P15" s="8">
        <v>3</v>
      </c>
      <c r="Q15" s="9" t="s">
        <v>80</v>
      </c>
      <c r="R15" s="8">
        <v>85</v>
      </c>
      <c r="S15" s="15">
        <f t="shared" ref="S15:S22" si="2">R15/90*100</f>
        <v>94.444444444444443</v>
      </c>
      <c r="T15" s="8" t="s">
        <v>40</v>
      </c>
      <c r="U15" s="10">
        <f t="shared" si="1"/>
        <v>45.944077047254041</v>
      </c>
      <c r="V15" s="8">
        <v>14</v>
      </c>
      <c r="W15" s="12"/>
    </row>
    <row r="16" spans="1:23" ht="14.25" customHeight="1" x14ac:dyDescent="0.25">
      <c r="A16" s="8" t="s">
        <v>81</v>
      </c>
      <c r="B16" s="8"/>
      <c r="C16" s="8">
        <v>11716013</v>
      </c>
      <c r="D16" s="8" t="s">
        <v>82</v>
      </c>
      <c r="E16" s="8" t="s">
        <v>25</v>
      </c>
      <c r="F16" s="8" t="s">
        <v>26</v>
      </c>
      <c r="G16" s="8" t="s">
        <v>27</v>
      </c>
      <c r="H16" s="8"/>
      <c r="I16" s="8"/>
      <c r="J16" s="8" t="s">
        <v>28</v>
      </c>
      <c r="K16" s="9" t="s">
        <v>83</v>
      </c>
      <c r="L16" s="8"/>
      <c r="M16" s="13">
        <f>4.502*7</f>
        <v>31.513999999999999</v>
      </c>
      <c r="N16" s="10">
        <f t="shared" si="0"/>
        <v>34.607570749277954</v>
      </c>
      <c r="O16" s="9"/>
      <c r="P16" s="8"/>
      <c r="Q16" s="9" t="s">
        <v>84</v>
      </c>
      <c r="R16" s="16">
        <v>85</v>
      </c>
      <c r="S16" s="15">
        <f t="shared" si="2"/>
        <v>94.444444444444443</v>
      </c>
      <c r="T16" s="8" t="s">
        <v>40</v>
      </c>
      <c r="U16" s="10">
        <f t="shared" si="1"/>
        <v>44.686056599422365</v>
      </c>
      <c r="V16" s="8">
        <v>15</v>
      </c>
      <c r="W16" s="12"/>
    </row>
    <row r="17" spans="1:23" ht="14.25" customHeight="1" x14ac:dyDescent="0.25">
      <c r="A17" s="8" t="s">
        <v>67</v>
      </c>
      <c r="B17" s="8" t="s">
        <v>23</v>
      </c>
      <c r="C17" s="8">
        <v>11516027</v>
      </c>
      <c r="D17" s="8" t="s">
        <v>85</v>
      </c>
      <c r="E17" s="8" t="s">
        <v>25</v>
      </c>
      <c r="F17" s="8" t="s">
        <v>26</v>
      </c>
      <c r="G17" s="8" t="s">
        <v>27</v>
      </c>
      <c r="H17" s="8"/>
      <c r="I17" s="8"/>
      <c r="J17" s="8" t="s">
        <v>34</v>
      </c>
      <c r="K17" s="9" t="s">
        <v>86</v>
      </c>
      <c r="L17" s="8"/>
      <c r="M17" s="13">
        <f>4.257*7</f>
        <v>29.798999999999999</v>
      </c>
      <c r="N17" s="10">
        <f t="shared" si="0"/>
        <v>32.724217832002722</v>
      </c>
      <c r="O17" s="9"/>
      <c r="P17" s="8"/>
      <c r="Q17" s="9"/>
      <c r="R17" s="8">
        <v>90</v>
      </c>
      <c r="S17" s="15">
        <f t="shared" si="2"/>
        <v>100</v>
      </c>
      <c r="T17" s="8" t="s">
        <v>40</v>
      </c>
      <c r="U17" s="10">
        <f t="shared" si="1"/>
        <v>44.179374265602178</v>
      </c>
      <c r="V17" s="8">
        <v>16</v>
      </c>
      <c r="W17" s="12"/>
    </row>
    <row r="18" spans="1:23" ht="14.25" customHeight="1" x14ac:dyDescent="0.25">
      <c r="A18" s="8" t="s">
        <v>81</v>
      </c>
      <c r="B18" s="8" t="s">
        <v>23</v>
      </c>
      <c r="C18" s="8">
        <v>11416045</v>
      </c>
      <c r="D18" s="8" t="s">
        <v>87</v>
      </c>
      <c r="E18" s="8" t="s">
        <v>25</v>
      </c>
      <c r="F18" s="8" t="s">
        <v>26</v>
      </c>
      <c r="G18" s="8" t="s">
        <v>27</v>
      </c>
      <c r="H18" s="8"/>
      <c r="I18" s="8"/>
      <c r="J18" s="8" t="s">
        <v>28</v>
      </c>
      <c r="K18" s="9" t="s">
        <v>88</v>
      </c>
      <c r="L18" s="8"/>
      <c r="M18" s="8">
        <f>6.044*5</f>
        <v>30.22</v>
      </c>
      <c r="N18" s="10">
        <f t="shared" si="0"/>
        <v>33.186545282832384</v>
      </c>
      <c r="O18" s="9"/>
      <c r="P18" s="8"/>
      <c r="Q18" s="9"/>
      <c r="R18" s="16">
        <v>85</v>
      </c>
      <c r="S18" s="15">
        <f t="shared" si="2"/>
        <v>94.444444444444443</v>
      </c>
      <c r="T18" s="8" t="s">
        <v>31</v>
      </c>
      <c r="U18" s="10">
        <f t="shared" si="1"/>
        <v>43.549236226265904</v>
      </c>
      <c r="V18" s="8">
        <v>17</v>
      </c>
      <c r="W18" s="12"/>
    </row>
    <row r="19" spans="1:23" ht="14.25" customHeight="1" x14ac:dyDescent="0.25">
      <c r="A19" s="8" t="s">
        <v>67</v>
      </c>
      <c r="B19" s="8"/>
      <c r="C19" s="8">
        <v>11616026</v>
      </c>
      <c r="D19" s="8" t="s">
        <v>89</v>
      </c>
      <c r="E19" s="8" t="s">
        <v>25</v>
      </c>
      <c r="F19" s="8" t="s">
        <v>26</v>
      </c>
      <c r="G19" s="8" t="s">
        <v>27</v>
      </c>
      <c r="H19" s="8"/>
      <c r="I19" s="8"/>
      <c r="J19" s="8" t="s">
        <v>28</v>
      </c>
      <c r="K19" s="14" t="s">
        <v>996</v>
      </c>
      <c r="L19" s="8"/>
      <c r="M19" s="8">
        <f>4.234*7</f>
        <v>29.637999999999998</v>
      </c>
      <c r="N19" s="10">
        <f t="shared" si="0"/>
        <v>32.547413272421778</v>
      </c>
      <c r="O19" s="9"/>
      <c r="P19" s="8"/>
      <c r="Q19" s="9"/>
      <c r="R19" s="8">
        <v>85</v>
      </c>
      <c r="S19" s="15">
        <f t="shared" si="2"/>
        <v>94.444444444444443</v>
      </c>
      <c r="T19" s="8" t="s">
        <v>31</v>
      </c>
      <c r="U19" s="10">
        <f t="shared" si="1"/>
        <v>43.03793061793742</v>
      </c>
      <c r="V19" s="8">
        <v>18</v>
      </c>
      <c r="W19" s="12"/>
    </row>
    <row r="20" spans="1:23" ht="14.25" customHeight="1" x14ac:dyDescent="0.25">
      <c r="A20" s="8" t="s">
        <v>81</v>
      </c>
      <c r="B20" s="8"/>
      <c r="C20" s="8">
        <v>11416049</v>
      </c>
      <c r="D20" s="8" t="s">
        <v>90</v>
      </c>
      <c r="E20" s="8" t="s">
        <v>25</v>
      </c>
      <c r="F20" s="8" t="s">
        <v>26</v>
      </c>
      <c r="G20" s="8" t="s">
        <v>27</v>
      </c>
      <c r="H20" s="8"/>
      <c r="I20" s="8"/>
      <c r="J20" s="8" t="s">
        <v>28</v>
      </c>
      <c r="K20" s="9" t="s">
        <v>91</v>
      </c>
      <c r="L20" s="8"/>
      <c r="M20" s="8">
        <f>4.354*7</f>
        <v>30.478000000000002</v>
      </c>
      <c r="N20" s="10">
        <f t="shared" si="0"/>
        <v>33.469871844148422</v>
      </c>
      <c r="O20" s="9"/>
      <c r="P20" s="8"/>
      <c r="Q20" s="9" t="s">
        <v>92</v>
      </c>
      <c r="R20" s="16">
        <v>80</v>
      </c>
      <c r="S20" s="15">
        <f t="shared" si="2"/>
        <v>88.888888888888886</v>
      </c>
      <c r="T20" s="8" t="s">
        <v>40</v>
      </c>
      <c r="U20" s="10">
        <f t="shared" si="1"/>
        <v>42.775897475318743</v>
      </c>
      <c r="V20" s="8">
        <v>19</v>
      </c>
      <c r="W20" s="12"/>
    </row>
    <row r="21" spans="1:23" ht="14.25" customHeight="1" x14ac:dyDescent="0.25">
      <c r="A21" s="8" t="s">
        <v>76</v>
      </c>
      <c r="B21" s="8" t="s">
        <v>23</v>
      </c>
      <c r="C21" s="8">
        <v>11716022</v>
      </c>
      <c r="D21" s="8" t="s">
        <v>93</v>
      </c>
      <c r="E21" s="8" t="s">
        <v>25</v>
      </c>
      <c r="F21" s="8" t="s">
        <v>26</v>
      </c>
      <c r="G21" s="8" t="s">
        <v>27</v>
      </c>
      <c r="H21" s="16"/>
      <c r="I21" s="16"/>
      <c r="J21" s="8" t="s">
        <v>28</v>
      </c>
      <c r="K21" s="9" t="s">
        <v>94</v>
      </c>
      <c r="L21" s="8"/>
      <c r="M21" s="8">
        <f>3.973*7</f>
        <v>27.811</v>
      </c>
      <c r="N21" s="10">
        <f t="shared" si="0"/>
        <v>30.541065878916328</v>
      </c>
      <c r="O21" s="9"/>
      <c r="P21" s="8"/>
      <c r="Q21" s="9" t="s">
        <v>95</v>
      </c>
      <c r="R21" s="8">
        <v>87</v>
      </c>
      <c r="S21" s="15">
        <f t="shared" si="2"/>
        <v>96.666666666666671</v>
      </c>
      <c r="T21" s="8" t="s">
        <v>40</v>
      </c>
      <c r="U21" s="10">
        <f t="shared" si="1"/>
        <v>41.832852703133071</v>
      </c>
      <c r="V21" s="8">
        <v>20</v>
      </c>
      <c r="W21" s="12"/>
    </row>
    <row r="22" spans="1:23" ht="14.25" customHeight="1" x14ac:dyDescent="0.25">
      <c r="A22" s="8" t="s">
        <v>76</v>
      </c>
      <c r="B22" s="8"/>
      <c r="C22" s="8">
        <v>11716023</v>
      </c>
      <c r="D22" s="8" t="s">
        <v>96</v>
      </c>
      <c r="E22" s="8" t="s">
        <v>25</v>
      </c>
      <c r="F22" s="8" t="s">
        <v>26</v>
      </c>
      <c r="G22" s="8" t="s">
        <v>27</v>
      </c>
      <c r="H22" s="16"/>
      <c r="I22" s="16"/>
      <c r="J22" s="8" t="s">
        <v>28</v>
      </c>
      <c r="K22" s="9" t="s">
        <v>94</v>
      </c>
      <c r="L22" s="8"/>
      <c r="M22" s="8">
        <f>3.973*7</f>
        <v>27.811</v>
      </c>
      <c r="N22" s="10">
        <f t="shared" si="0"/>
        <v>30.541065878916328</v>
      </c>
      <c r="O22" s="9"/>
      <c r="P22" s="8"/>
      <c r="Q22" s="9"/>
      <c r="R22" s="8">
        <v>83</v>
      </c>
      <c r="S22" s="15">
        <f t="shared" si="2"/>
        <v>92.222222222222229</v>
      </c>
      <c r="T22" s="8" t="s">
        <v>31</v>
      </c>
      <c r="U22" s="10">
        <f t="shared" si="1"/>
        <v>41.032852703133074</v>
      </c>
      <c r="V22" s="8">
        <v>21</v>
      </c>
      <c r="W22" s="12"/>
    </row>
    <row r="23" spans="1:23" ht="14.25" customHeight="1" x14ac:dyDescent="0.25">
      <c r="A23" s="8" t="s">
        <v>32</v>
      </c>
      <c r="B23" s="8"/>
      <c r="C23" s="8">
        <v>11416068</v>
      </c>
      <c r="D23" s="8" t="s">
        <v>97</v>
      </c>
      <c r="E23" s="8" t="s">
        <v>25</v>
      </c>
      <c r="F23" s="8" t="s">
        <v>26</v>
      </c>
      <c r="G23" s="8" t="s">
        <v>27</v>
      </c>
      <c r="H23" s="8"/>
      <c r="I23" s="8"/>
      <c r="J23" s="8" t="s">
        <v>28</v>
      </c>
      <c r="K23" s="14" t="s">
        <v>997</v>
      </c>
      <c r="L23" s="8"/>
      <c r="M23" s="8">
        <f>7.833*2+5.462*2</f>
        <v>26.59</v>
      </c>
      <c r="N23" s="10">
        <f t="shared" si="0"/>
        <v>29.200206455013671</v>
      </c>
      <c r="O23" s="9"/>
      <c r="P23" s="8">
        <v>0</v>
      </c>
      <c r="Q23" s="9" t="s">
        <v>47</v>
      </c>
      <c r="R23" s="8">
        <v>87</v>
      </c>
      <c r="S23" s="10">
        <f>R23/89*100</f>
        <v>97.752808988764045</v>
      </c>
      <c r="T23" s="8" t="s">
        <v>40</v>
      </c>
      <c r="U23" s="10">
        <f t="shared" si="1"/>
        <v>40.955670781988466</v>
      </c>
      <c r="V23" s="8">
        <v>22</v>
      </c>
      <c r="W23" s="12"/>
    </row>
    <row r="24" spans="1:23" ht="14.25" customHeight="1" x14ac:dyDescent="0.25">
      <c r="A24" s="8" t="s">
        <v>59</v>
      </c>
      <c r="B24" s="8"/>
      <c r="C24" s="8">
        <v>11616052</v>
      </c>
      <c r="D24" s="8" t="s">
        <v>98</v>
      </c>
      <c r="E24" s="8" t="s">
        <v>25</v>
      </c>
      <c r="F24" s="8" t="s">
        <v>26</v>
      </c>
      <c r="G24" s="8" t="s">
        <v>27</v>
      </c>
      <c r="H24" s="8"/>
      <c r="I24" s="8"/>
      <c r="J24" s="8" t="s">
        <v>28</v>
      </c>
      <c r="K24" s="14" t="s">
        <v>99</v>
      </c>
      <c r="L24" s="8"/>
      <c r="M24" s="8">
        <f>3.268*7</f>
        <v>22.875999999999998</v>
      </c>
      <c r="N24" s="10">
        <f t="shared" si="0"/>
        <v>25.121621770022291</v>
      </c>
      <c r="O24" s="9"/>
      <c r="P24" s="8">
        <v>0</v>
      </c>
      <c r="Q24" s="9"/>
      <c r="R24" s="8">
        <v>89</v>
      </c>
      <c r="S24" s="11">
        <f>R24/90*100</f>
        <v>98.888888888888886</v>
      </c>
      <c r="T24" s="8" t="s">
        <v>40</v>
      </c>
      <c r="U24" s="10">
        <f t="shared" si="1"/>
        <v>37.897297416017835</v>
      </c>
      <c r="V24" s="8">
        <v>23</v>
      </c>
      <c r="W24" s="12"/>
    </row>
    <row r="25" spans="1:23" ht="14.25" customHeight="1" x14ac:dyDescent="0.25">
      <c r="A25" s="8" t="s">
        <v>76</v>
      </c>
      <c r="B25" s="8"/>
      <c r="C25" s="8">
        <v>11616081</v>
      </c>
      <c r="D25" s="8" t="s">
        <v>100</v>
      </c>
      <c r="E25" s="8" t="s">
        <v>25</v>
      </c>
      <c r="F25" s="8" t="s">
        <v>26</v>
      </c>
      <c r="G25" s="8" t="s">
        <v>27</v>
      </c>
      <c r="H25" s="8"/>
      <c r="I25" s="8"/>
      <c r="J25" s="8" t="s">
        <v>28</v>
      </c>
      <c r="K25" s="14" t="s">
        <v>101</v>
      </c>
      <c r="L25" s="8"/>
      <c r="M25" s="8">
        <f>4.257*5</f>
        <v>21.284999999999997</v>
      </c>
      <c r="N25" s="10">
        <f t="shared" si="0"/>
        <v>23.374441308573367</v>
      </c>
      <c r="O25" s="9"/>
      <c r="P25" s="8"/>
      <c r="Q25" s="9" t="s">
        <v>102</v>
      </c>
      <c r="R25" s="8">
        <v>86</v>
      </c>
      <c r="S25" s="15">
        <f>R25/90*100</f>
        <v>95.555555555555557</v>
      </c>
      <c r="T25" s="8" t="s">
        <v>31</v>
      </c>
      <c r="U25" s="10">
        <f t="shared" si="1"/>
        <v>35.899553046858692</v>
      </c>
      <c r="V25" s="8">
        <v>24</v>
      </c>
      <c r="W25" s="12"/>
    </row>
    <row r="26" spans="1:23" ht="14.25" customHeight="1" x14ac:dyDescent="0.25">
      <c r="A26" s="8" t="s">
        <v>76</v>
      </c>
      <c r="B26" s="8"/>
      <c r="C26" s="8">
        <v>11416076</v>
      </c>
      <c r="D26" s="8" t="s">
        <v>103</v>
      </c>
      <c r="E26" s="8" t="s">
        <v>25</v>
      </c>
      <c r="F26" s="8" t="s">
        <v>26</v>
      </c>
      <c r="G26" s="8" t="s">
        <v>27</v>
      </c>
      <c r="H26" s="8"/>
      <c r="I26" s="8"/>
      <c r="J26" s="8" t="s">
        <v>28</v>
      </c>
      <c r="K26" s="14" t="s">
        <v>998</v>
      </c>
      <c r="L26" s="8"/>
      <c r="M26" s="8">
        <f>3.878*5</f>
        <v>19.39</v>
      </c>
      <c r="N26" s="10">
        <f t="shared" si="0"/>
        <v>21.293418697356717</v>
      </c>
      <c r="O26" s="9" t="s">
        <v>104</v>
      </c>
      <c r="P26" s="8">
        <v>3</v>
      </c>
      <c r="Q26" s="9" t="s">
        <v>105</v>
      </c>
      <c r="R26" s="8">
        <v>86</v>
      </c>
      <c r="S26" s="15">
        <f>R26/90*100</f>
        <v>95.555555555555557</v>
      </c>
      <c r="T26" s="8" t="s">
        <v>31</v>
      </c>
      <c r="U26" s="10">
        <f t="shared" si="1"/>
        <v>34.834734957885374</v>
      </c>
      <c r="V26" s="8">
        <v>25</v>
      </c>
      <c r="W26" s="12"/>
    </row>
    <row r="27" spans="1:23" ht="14.25" customHeight="1" x14ac:dyDescent="0.25">
      <c r="A27" s="8" t="s">
        <v>59</v>
      </c>
      <c r="B27" s="8"/>
      <c r="C27" s="8">
        <v>11416059</v>
      </c>
      <c r="D27" s="8" t="s">
        <v>106</v>
      </c>
      <c r="E27" s="8" t="s">
        <v>25</v>
      </c>
      <c r="F27" s="8" t="s">
        <v>26</v>
      </c>
      <c r="G27" s="8" t="s">
        <v>27</v>
      </c>
      <c r="H27" s="8"/>
      <c r="I27" s="8"/>
      <c r="J27" s="8" t="s">
        <v>28</v>
      </c>
      <c r="K27" s="9" t="s">
        <v>107</v>
      </c>
      <c r="L27" s="8"/>
      <c r="M27" s="8">
        <f>2.571*7</f>
        <v>17.997</v>
      </c>
      <c r="N27" s="10">
        <f t="shared" si="0"/>
        <v>19.763674899243362</v>
      </c>
      <c r="O27" s="9"/>
      <c r="P27" s="8">
        <v>0</v>
      </c>
      <c r="Q27" s="9" t="s">
        <v>108</v>
      </c>
      <c r="R27" s="8">
        <v>90</v>
      </c>
      <c r="S27" s="11">
        <f>R27/90*100</f>
        <v>100</v>
      </c>
      <c r="T27" s="8" t="s">
        <v>31</v>
      </c>
      <c r="U27" s="10">
        <f t="shared" si="1"/>
        <v>33.810939919394691</v>
      </c>
      <c r="V27" s="8">
        <v>26</v>
      </c>
      <c r="W27" s="12"/>
    </row>
    <row r="28" spans="1:23" ht="14.25" customHeight="1" x14ac:dyDescent="0.25">
      <c r="A28" s="8" t="s">
        <v>32</v>
      </c>
      <c r="B28" s="8"/>
      <c r="C28" s="8">
        <v>11716017</v>
      </c>
      <c r="D28" s="8" t="s">
        <v>109</v>
      </c>
      <c r="E28" s="8" t="s">
        <v>25</v>
      </c>
      <c r="F28" s="8" t="s">
        <v>26</v>
      </c>
      <c r="G28" s="8" t="s">
        <v>27</v>
      </c>
      <c r="H28" s="8"/>
      <c r="I28" s="8"/>
      <c r="J28" s="8" t="s">
        <v>34</v>
      </c>
      <c r="K28" s="9" t="s">
        <v>110</v>
      </c>
      <c r="L28" s="8"/>
      <c r="M28" s="8">
        <f>4.354*4</f>
        <v>17.416</v>
      </c>
      <c r="N28" s="10">
        <f t="shared" si="0"/>
        <v>19.1256410537991</v>
      </c>
      <c r="O28" s="9"/>
      <c r="P28" s="8">
        <v>0</v>
      </c>
      <c r="Q28" s="9" t="s">
        <v>111</v>
      </c>
      <c r="R28" s="8">
        <v>85</v>
      </c>
      <c r="S28" s="10">
        <f>R28/89*100</f>
        <v>95.50561797752809</v>
      </c>
      <c r="T28" s="8" t="s">
        <v>40</v>
      </c>
      <c r="U28" s="10">
        <f t="shared" si="1"/>
        <v>32.491524078994338</v>
      </c>
      <c r="V28" s="8">
        <v>27</v>
      </c>
      <c r="W28" s="12"/>
    </row>
    <row r="29" spans="1:23" ht="14.25" customHeight="1" x14ac:dyDescent="0.25">
      <c r="A29" s="8" t="s">
        <v>67</v>
      </c>
      <c r="B29" s="8"/>
      <c r="C29" s="17">
        <v>11816005</v>
      </c>
      <c r="D29" s="8" t="s">
        <v>112</v>
      </c>
      <c r="E29" s="8" t="s">
        <v>25</v>
      </c>
      <c r="F29" s="8" t="s">
        <v>26</v>
      </c>
      <c r="G29" s="8" t="s">
        <v>27</v>
      </c>
      <c r="H29" s="8"/>
      <c r="I29" s="8"/>
      <c r="J29" s="8" t="s">
        <v>34</v>
      </c>
      <c r="K29" s="14" t="s">
        <v>999</v>
      </c>
      <c r="L29" s="8"/>
      <c r="M29" s="8">
        <f>6.044*2+6</f>
        <v>18.088000000000001</v>
      </c>
      <c r="N29" s="10">
        <f t="shared" si="0"/>
        <v>19.863607911180416</v>
      </c>
      <c r="O29" s="9" t="s">
        <v>113</v>
      </c>
      <c r="P29" s="8"/>
      <c r="Q29" s="9" t="s">
        <v>114</v>
      </c>
      <c r="R29" s="8">
        <v>80</v>
      </c>
      <c r="S29" s="15">
        <f>R29/90*100</f>
        <v>88.888888888888886</v>
      </c>
      <c r="T29" s="8" t="s">
        <v>31</v>
      </c>
      <c r="U29" s="10">
        <f t="shared" si="1"/>
        <v>31.890886328944333</v>
      </c>
      <c r="V29" s="8">
        <v>28</v>
      </c>
      <c r="W29" s="12"/>
    </row>
    <row r="30" spans="1:23" ht="14.25" customHeight="1" x14ac:dyDescent="0.25">
      <c r="A30" s="8" t="s">
        <v>81</v>
      </c>
      <c r="B30" s="8"/>
      <c r="C30" s="8">
        <v>11716012</v>
      </c>
      <c r="D30" s="8" t="s">
        <v>115</v>
      </c>
      <c r="E30" s="8" t="s">
        <v>25</v>
      </c>
      <c r="F30" s="8" t="s">
        <v>26</v>
      </c>
      <c r="G30" s="8" t="s">
        <v>27</v>
      </c>
      <c r="H30" s="8"/>
      <c r="I30" s="8"/>
      <c r="J30" s="8" t="s">
        <v>34</v>
      </c>
      <c r="K30" s="9" t="s">
        <v>116</v>
      </c>
      <c r="L30" s="8"/>
      <c r="M30" s="8">
        <f>3.46*5</f>
        <v>17.3</v>
      </c>
      <c r="N30" s="10">
        <f t="shared" si="0"/>
        <v>18.998253917703519</v>
      </c>
      <c r="O30" s="9" t="s">
        <v>117</v>
      </c>
      <c r="P30" s="8"/>
      <c r="Q30" s="9" t="s">
        <v>118</v>
      </c>
      <c r="R30" s="16" t="s">
        <v>119</v>
      </c>
      <c r="S30" s="15">
        <f>R30/90*100</f>
        <v>92.222222222222229</v>
      </c>
      <c r="T30" s="8" t="s">
        <v>40</v>
      </c>
      <c r="U30" s="10">
        <f t="shared" si="1"/>
        <v>31.798603134162821</v>
      </c>
      <c r="V30" s="8">
        <v>29</v>
      </c>
      <c r="W30" s="12"/>
    </row>
    <row r="31" spans="1:23" ht="14.25" customHeight="1" x14ac:dyDescent="0.25">
      <c r="A31" s="8" t="s">
        <v>81</v>
      </c>
      <c r="B31" s="8"/>
      <c r="C31" s="8">
        <v>11516042</v>
      </c>
      <c r="D31" s="8" t="s">
        <v>120</v>
      </c>
      <c r="E31" s="8" t="s">
        <v>25</v>
      </c>
      <c r="F31" s="8" t="s">
        <v>26</v>
      </c>
      <c r="G31" s="8" t="s">
        <v>27</v>
      </c>
      <c r="H31" s="8"/>
      <c r="I31" s="8"/>
      <c r="J31" s="8" t="s">
        <v>34</v>
      </c>
      <c r="K31" s="9" t="s">
        <v>121</v>
      </c>
      <c r="L31" s="8"/>
      <c r="M31" s="8">
        <f>3.217*5</f>
        <v>16.085000000000001</v>
      </c>
      <c r="N31" s="10">
        <f t="shared" si="0"/>
        <v>17.663983483598905</v>
      </c>
      <c r="O31" s="9" t="s">
        <v>122</v>
      </c>
      <c r="P31" s="8"/>
      <c r="Q31" s="9" t="s">
        <v>123</v>
      </c>
      <c r="R31" s="16">
        <v>86</v>
      </c>
      <c r="S31" s="15">
        <f>R31/90*100</f>
        <v>95.555555555555557</v>
      </c>
      <c r="T31" s="8" t="s">
        <v>40</v>
      </c>
      <c r="U31" s="10">
        <f t="shared" si="1"/>
        <v>31.331186786879123</v>
      </c>
      <c r="V31" s="8">
        <v>30</v>
      </c>
      <c r="W31" s="12"/>
    </row>
    <row r="32" spans="1:23" ht="14.25" customHeight="1" x14ac:dyDescent="0.25">
      <c r="A32" s="8" t="s">
        <v>76</v>
      </c>
      <c r="B32" s="8"/>
      <c r="C32" s="8">
        <v>11516069</v>
      </c>
      <c r="D32" s="8" t="s">
        <v>124</v>
      </c>
      <c r="E32" s="8" t="s">
        <v>25</v>
      </c>
      <c r="F32" s="8" t="s">
        <v>26</v>
      </c>
      <c r="G32" s="8" t="s">
        <v>27</v>
      </c>
      <c r="H32" s="8"/>
      <c r="I32" s="8"/>
      <c r="J32" s="8" t="s">
        <v>34</v>
      </c>
      <c r="K32" s="14" t="s">
        <v>1000</v>
      </c>
      <c r="L32" s="8"/>
      <c r="M32" s="8">
        <f>7+1.082*7</f>
        <v>14.574000000000002</v>
      </c>
      <c r="N32" s="10">
        <f t="shared" si="0"/>
        <v>16.004656219457285</v>
      </c>
      <c r="O32" s="9"/>
      <c r="P32" s="8"/>
      <c r="Q32" s="9" t="s">
        <v>125</v>
      </c>
      <c r="R32" s="8">
        <v>83</v>
      </c>
      <c r="S32" s="15">
        <f>R32/90*100</f>
        <v>92.222222222222229</v>
      </c>
      <c r="T32" s="8" t="s">
        <v>31</v>
      </c>
      <c r="U32" s="10">
        <f t="shared" si="1"/>
        <v>29.403724975565833</v>
      </c>
      <c r="V32" s="8">
        <v>31</v>
      </c>
      <c r="W32" s="12"/>
    </row>
    <row r="33" spans="1:23" ht="14.25" customHeight="1" x14ac:dyDescent="0.25">
      <c r="A33" s="8" t="s">
        <v>32</v>
      </c>
      <c r="B33" s="8"/>
      <c r="C33" s="8">
        <v>11516057</v>
      </c>
      <c r="D33" s="8" t="s">
        <v>126</v>
      </c>
      <c r="E33" s="8" t="s">
        <v>25</v>
      </c>
      <c r="F33" s="8" t="s">
        <v>26</v>
      </c>
      <c r="G33" s="8" t="s">
        <v>27</v>
      </c>
      <c r="H33" s="8"/>
      <c r="I33" s="8"/>
      <c r="J33" s="8" t="s">
        <v>34</v>
      </c>
      <c r="K33" s="9" t="s">
        <v>127</v>
      </c>
      <c r="L33" s="8"/>
      <c r="M33" s="8">
        <f>1.766*7</f>
        <v>12.362</v>
      </c>
      <c r="N33" s="10">
        <f t="shared" si="0"/>
        <v>13.575515313910454</v>
      </c>
      <c r="O33" s="9"/>
      <c r="P33" s="8">
        <v>0</v>
      </c>
      <c r="Q33" s="9" t="s">
        <v>47</v>
      </c>
      <c r="R33" s="8">
        <v>87</v>
      </c>
      <c r="S33" s="10">
        <f>R33/89*100</f>
        <v>97.752808988764045</v>
      </c>
      <c r="T33" s="8" t="s">
        <v>40</v>
      </c>
      <c r="U33" s="10">
        <f t="shared" si="1"/>
        <v>28.455917869105896</v>
      </c>
      <c r="V33" s="8">
        <v>32</v>
      </c>
      <c r="W33" s="12"/>
    </row>
    <row r="34" spans="1:23" ht="14.25" customHeight="1" x14ac:dyDescent="0.25">
      <c r="A34" s="8" t="s">
        <v>73</v>
      </c>
      <c r="B34" s="8"/>
      <c r="C34" s="8">
        <v>11416055</v>
      </c>
      <c r="D34" s="8" t="s">
        <v>131</v>
      </c>
      <c r="E34" s="8" t="s">
        <v>25</v>
      </c>
      <c r="F34" s="8" t="s">
        <v>26</v>
      </c>
      <c r="G34" s="8" t="s">
        <v>27</v>
      </c>
      <c r="H34" s="8"/>
      <c r="I34" s="8"/>
      <c r="J34" s="8" t="s">
        <v>28</v>
      </c>
      <c r="K34" s="9" t="s">
        <v>129</v>
      </c>
      <c r="L34" s="8"/>
      <c r="M34" s="8">
        <f>6.151*2</f>
        <v>12.302</v>
      </c>
      <c r="N34" s="10">
        <f>M34/91.061*100</f>
        <v>13.50962541592998</v>
      </c>
      <c r="O34" s="9"/>
      <c r="P34" s="8">
        <v>0</v>
      </c>
      <c r="Q34" s="9" t="s">
        <v>132</v>
      </c>
      <c r="R34" s="8">
        <v>88</v>
      </c>
      <c r="S34" s="11">
        <f>(R34/90)*100</f>
        <v>97.777777777777771</v>
      </c>
      <c r="T34" s="8" t="s">
        <v>31</v>
      </c>
      <c r="U34" s="10">
        <f>0.8*N34+0.2*(P34+0.9*S34)</f>
        <v>28.407700332743985</v>
      </c>
      <c r="V34" s="8">
        <v>33</v>
      </c>
      <c r="W34" s="12"/>
    </row>
    <row r="35" spans="1:23" ht="14.25" customHeight="1" x14ac:dyDescent="0.25">
      <c r="A35" s="8" t="s">
        <v>73</v>
      </c>
      <c r="B35" s="8"/>
      <c r="C35" s="8">
        <v>11816087</v>
      </c>
      <c r="D35" s="8" t="s">
        <v>128</v>
      </c>
      <c r="E35" s="8" t="s">
        <v>25</v>
      </c>
      <c r="F35" s="8" t="s">
        <v>26</v>
      </c>
      <c r="G35" s="8" t="s">
        <v>27</v>
      </c>
      <c r="H35" s="8"/>
      <c r="I35" s="8"/>
      <c r="J35" s="8" t="s">
        <v>34</v>
      </c>
      <c r="K35" s="9" t="s">
        <v>129</v>
      </c>
      <c r="L35" s="8"/>
      <c r="M35" s="8">
        <f>6.151*2</f>
        <v>12.302</v>
      </c>
      <c r="N35" s="10">
        <f t="shared" si="0"/>
        <v>13.50962541592998</v>
      </c>
      <c r="O35" s="9" t="s">
        <v>130</v>
      </c>
      <c r="P35" s="8">
        <v>3</v>
      </c>
      <c r="Q35" s="9"/>
      <c r="R35" s="8">
        <v>85</v>
      </c>
      <c r="S35" s="11">
        <f>(R35/90)*100</f>
        <v>94.444444444444443</v>
      </c>
      <c r="T35" s="8" t="s">
        <v>40</v>
      </c>
      <c r="U35" s="10">
        <f>0.8*N35+0.2*(P35+0.9*S35)</f>
        <v>28.407700332743985</v>
      </c>
      <c r="V35" s="8">
        <v>34</v>
      </c>
      <c r="W35" s="12"/>
    </row>
    <row r="36" spans="1:23" ht="14.25" customHeight="1" x14ac:dyDescent="0.25">
      <c r="A36" s="8" t="s">
        <v>73</v>
      </c>
      <c r="B36" s="8"/>
      <c r="C36" s="8">
        <v>11416058</v>
      </c>
      <c r="D36" s="8" t="s">
        <v>133</v>
      </c>
      <c r="E36" s="8" t="s">
        <v>25</v>
      </c>
      <c r="F36" s="8" t="s">
        <v>26</v>
      </c>
      <c r="G36" s="8" t="s">
        <v>27</v>
      </c>
      <c r="H36" s="8"/>
      <c r="I36" s="8"/>
      <c r="J36" s="8" t="s">
        <v>28</v>
      </c>
      <c r="K36" s="14" t="s">
        <v>1001</v>
      </c>
      <c r="L36" s="8"/>
      <c r="M36" s="8">
        <f>6.044*2</f>
        <v>12.087999999999999</v>
      </c>
      <c r="N36" s="10">
        <f t="shared" si="0"/>
        <v>13.274618113132952</v>
      </c>
      <c r="O36" s="9"/>
      <c r="P36" s="8">
        <v>0</v>
      </c>
      <c r="Q36" s="9" t="s">
        <v>134</v>
      </c>
      <c r="R36" s="8">
        <v>85</v>
      </c>
      <c r="S36" s="11">
        <f>(R36/90)*100</f>
        <v>94.444444444444443</v>
      </c>
      <c r="T36" s="8"/>
      <c r="U36" s="10">
        <f t="shared" si="1"/>
        <v>27.619694490506362</v>
      </c>
      <c r="V36" s="8">
        <v>35</v>
      </c>
      <c r="W36" s="12"/>
    </row>
    <row r="37" spans="1:23" ht="14.25" customHeight="1" x14ac:dyDescent="0.25">
      <c r="A37" s="8" t="s">
        <v>76</v>
      </c>
      <c r="B37" s="8"/>
      <c r="C37" s="8">
        <v>11416080</v>
      </c>
      <c r="D37" s="8" t="s">
        <v>135</v>
      </c>
      <c r="E37" s="8" t="s">
        <v>25</v>
      </c>
      <c r="F37" s="8" t="s">
        <v>26</v>
      </c>
      <c r="G37" s="8" t="s">
        <v>27</v>
      </c>
      <c r="H37" s="8"/>
      <c r="I37" s="8"/>
      <c r="J37" s="8" t="s">
        <v>28</v>
      </c>
      <c r="K37" s="9"/>
      <c r="L37" s="8" t="s">
        <v>136</v>
      </c>
      <c r="M37" s="13">
        <f>6*2</f>
        <v>12</v>
      </c>
      <c r="N37" s="10">
        <f t="shared" si="0"/>
        <v>13.177979596094925</v>
      </c>
      <c r="O37" s="9"/>
      <c r="P37" s="8"/>
      <c r="Q37" s="9" t="s">
        <v>137</v>
      </c>
      <c r="R37" s="8">
        <v>85</v>
      </c>
      <c r="S37" s="15">
        <f>R37/90*100</f>
        <v>94.444444444444443</v>
      </c>
      <c r="T37" s="8" t="s">
        <v>40</v>
      </c>
      <c r="U37" s="10">
        <f t="shared" si="1"/>
        <v>27.542383676875943</v>
      </c>
      <c r="V37" s="8">
        <v>36</v>
      </c>
      <c r="W37" s="12"/>
    </row>
    <row r="38" spans="1:23" ht="14.25" customHeight="1" x14ac:dyDescent="0.25">
      <c r="A38" s="8" t="s">
        <v>32</v>
      </c>
      <c r="B38" s="8"/>
      <c r="C38" s="8">
        <v>11616012</v>
      </c>
      <c r="D38" s="8" t="s">
        <v>138</v>
      </c>
      <c r="E38" s="8" t="s">
        <v>25</v>
      </c>
      <c r="F38" s="8" t="s">
        <v>26</v>
      </c>
      <c r="G38" s="8" t="s">
        <v>27</v>
      </c>
      <c r="H38" s="8"/>
      <c r="I38" s="8"/>
      <c r="J38" s="8" t="s">
        <v>34</v>
      </c>
      <c r="K38" s="9" t="s">
        <v>139</v>
      </c>
      <c r="L38" s="8"/>
      <c r="M38" s="8">
        <f>5.462*2</f>
        <v>10.923999999999999</v>
      </c>
      <c r="N38" s="10">
        <f t="shared" si="0"/>
        <v>11.996354092311744</v>
      </c>
      <c r="O38" s="9"/>
      <c r="P38" s="8">
        <v>0</v>
      </c>
      <c r="Q38" s="9"/>
      <c r="R38" s="8">
        <v>86</v>
      </c>
      <c r="S38" s="10">
        <f>R38/89*100</f>
        <v>96.629213483146074</v>
      </c>
      <c r="T38" s="8" t="s">
        <v>40</v>
      </c>
      <c r="U38" s="10">
        <f t="shared" si="1"/>
        <v>26.990341700815691</v>
      </c>
      <c r="V38" s="8">
        <v>37</v>
      </c>
      <c r="W38" s="12"/>
    </row>
    <row r="39" spans="1:23" ht="14.25" customHeight="1" x14ac:dyDescent="0.25">
      <c r="A39" s="8" t="s">
        <v>73</v>
      </c>
      <c r="B39" s="8"/>
      <c r="C39" s="8">
        <v>11616048</v>
      </c>
      <c r="D39" s="8" t="s">
        <v>140</v>
      </c>
      <c r="E39" s="8" t="s">
        <v>25</v>
      </c>
      <c r="F39" s="8" t="s">
        <v>26</v>
      </c>
      <c r="G39" s="8" t="s">
        <v>27</v>
      </c>
      <c r="H39" s="8"/>
      <c r="I39" s="8"/>
      <c r="J39" s="8" t="s">
        <v>34</v>
      </c>
      <c r="K39" s="9" t="s">
        <v>141</v>
      </c>
      <c r="L39" s="8"/>
      <c r="M39" s="8">
        <f>5.525*2</f>
        <v>11.05</v>
      </c>
      <c r="N39" s="10">
        <f t="shared" si="0"/>
        <v>12.134722878070743</v>
      </c>
      <c r="O39" s="9"/>
      <c r="P39" s="8">
        <v>0</v>
      </c>
      <c r="Q39" s="9" t="s">
        <v>142</v>
      </c>
      <c r="R39" s="8">
        <v>85</v>
      </c>
      <c r="S39" s="11">
        <f>(R39/90)*100</f>
        <v>94.444444444444443</v>
      </c>
      <c r="T39" s="8" t="s">
        <v>40</v>
      </c>
      <c r="U39" s="10">
        <f t="shared" si="1"/>
        <v>26.707778302456596</v>
      </c>
      <c r="V39" s="8">
        <v>38</v>
      </c>
      <c r="W39" s="12"/>
    </row>
    <row r="40" spans="1:23" ht="14.25" customHeight="1" x14ac:dyDescent="0.25">
      <c r="A40" s="8" t="s">
        <v>73</v>
      </c>
      <c r="B40" s="8"/>
      <c r="C40" s="8">
        <v>11416056</v>
      </c>
      <c r="D40" s="8" t="s">
        <v>143</v>
      </c>
      <c r="E40" s="8" t="s">
        <v>25</v>
      </c>
      <c r="F40" s="8" t="s">
        <v>26</v>
      </c>
      <c r="G40" s="8" t="s">
        <v>27</v>
      </c>
      <c r="H40" s="8"/>
      <c r="I40" s="8"/>
      <c r="J40" s="8" t="s">
        <v>28</v>
      </c>
      <c r="K40" s="9" t="s">
        <v>144</v>
      </c>
      <c r="L40" s="8"/>
      <c r="M40" s="13">
        <f>2.986*4</f>
        <v>11.944000000000001</v>
      </c>
      <c r="N40" s="10">
        <f t="shared" si="0"/>
        <v>13.116482357979816</v>
      </c>
      <c r="O40" s="9"/>
      <c r="P40" s="8">
        <v>0</v>
      </c>
      <c r="Q40" s="9"/>
      <c r="R40" s="8">
        <v>80</v>
      </c>
      <c r="S40" s="11">
        <f>(R40/90)*100</f>
        <v>88.888888888888886</v>
      </c>
      <c r="T40" s="8"/>
      <c r="U40" s="10">
        <f t="shared" si="1"/>
        <v>26.493185886383856</v>
      </c>
      <c r="V40" s="8">
        <v>39</v>
      </c>
      <c r="W40" s="12"/>
    </row>
    <row r="41" spans="1:23" ht="14.25" customHeight="1" x14ac:dyDescent="0.25">
      <c r="A41" s="8" t="s">
        <v>32</v>
      </c>
      <c r="B41" s="8"/>
      <c r="C41" s="8">
        <v>11516065</v>
      </c>
      <c r="D41" s="8" t="s">
        <v>145</v>
      </c>
      <c r="E41" s="8" t="s">
        <v>25</v>
      </c>
      <c r="F41" s="8" t="s">
        <v>26</v>
      </c>
      <c r="G41" s="8" t="s">
        <v>27</v>
      </c>
      <c r="H41" s="8"/>
      <c r="I41" s="8"/>
      <c r="J41" s="8" t="s">
        <v>34</v>
      </c>
      <c r="K41" s="14" t="s">
        <v>1002</v>
      </c>
      <c r="L41" s="8"/>
      <c r="M41" s="8">
        <f>1.149*7</f>
        <v>8.0429999999999993</v>
      </c>
      <c r="N41" s="10">
        <f t="shared" si="0"/>
        <v>8.8325408242826224</v>
      </c>
      <c r="O41" s="9" t="s">
        <v>146</v>
      </c>
      <c r="P41" s="8">
        <v>2</v>
      </c>
      <c r="Q41" s="9"/>
      <c r="R41" s="8">
        <v>86</v>
      </c>
      <c r="S41" s="10">
        <f>R41/89*100</f>
        <v>96.629213483146074</v>
      </c>
      <c r="T41" s="8" t="s">
        <v>40</v>
      </c>
      <c r="U41" s="10">
        <f t="shared" si="1"/>
        <v>24.859291086392393</v>
      </c>
      <c r="V41" s="8">
        <v>40</v>
      </c>
      <c r="W41" s="12"/>
    </row>
    <row r="42" spans="1:23" ht="14.25" customHeight="1" x14ac:dyDescent="0.25">
      <c r="A42" s="8" t="s">
        <v>76</v>
      </c>
      <c r="B42" s="8"/>
      <c r="C42" s="8">
        <v>11516072</v>
      </c>
      <c r="D42" s="8" t="s">
        <v>147</v>
      </c>
      <c r="E42" s="8" t="s">
        <v>25</v>
      </c>
      <c r="F42" s="8" t="s">
        <v>26</v>
      </c>
      <c r="G42" s="8" t="s">
        <v>27</v>
      </c>
      <c r="H42" s="8"/>
      <c r="I42" s="8"/>
      <c r="J42" s="8" t="s">
        <v>34</v>
      </c>
      <c r="K42" s="9"/>
      <c r="L42" s="18" t="s">
        <v>148</v>
      </c>
      <c r="M42" s="8">
        <v>6</v>
      </c>
      <c r="N42" s="10">
        <f t="shared" si="0"/>
        <v>6.5889897980474625</v>
      </c>
      <c r="O42" s="9" t="s">
        <v>149</v>
      </c>
      <c r="P42" s="8">
        <v>8</v>
      </c>
      <c r="Q42" s="9" t="s">
        <v>150</v>
      </c>
      <c r="R42" s="8">
        <v>87</v>
      </c>
      <c r="S42" s="15">
        <f>R42/90*100</f>
        <v>96.666666666666671</v>
      </c>
      <c r="T42" s="8" t="s">
        <v>40</v>
      </c>
      <c r="U42" s="10">
        <f t="shared" si="1"/>
        <v>24.271191838437971</v>
      </c>
      <c r="V42" s="8">
        <v>41</v>
      </c>
      <c r="W42" s="12"/>
    </row>
    <row r="43" spans="1:23" ht="14.25" customHeight="1" x14ac:dyDescent="0.25">
      <c r="A43" s="8" t="s">
        <v>32</v>
      </c>
      <c r="B43" s="8"/>
      <c r="C43" s="8">
        <v>11616065</v>
      </c>
      <c r="D43" s="8" t="s">
        <v>151</v>
      </c>
      <c r="E43" s="8" t="s">
        <v>25</v>
      </c>
      <c r="F43" s="8" t="s">
        <v>26</v>
      </c>
      <c r="G43" s="8" t="s">
        <v>27</v>
      </c>
      <c r="H43" s="8"/>
      <c r="I43" s="8"/>
      <c r="J43" s="8" t="s">
        <v>28</v>
      </c>
      <c r="K43" s="9"/>
      <c r="L43" s="18" t="s">
        <v>994</v>
      </c>
      <c r="M43" s="8">
        <v>7</v>
      </c>
      <c r="N43" s="10">
        <f t="shared" si="0"/>
        <v>7.6871547643887057</v>
      </c>
      <c r="O43" s="9"/>
      <c r="P43" s="8">
        <v>0</v>
      </c>
      <c r="Q43" s="9" t="s">
        <v>152</v>
      </c>
      <c r="R43" s="8">
        <v>83</v>
      </c>
      <c r="S43" s="10">
        <f>R43/89*100</f>
        <v>93.258426966292134</v>
      </c>
      <c r="T43" s="8" t="s">
        <v>1019</v>
      </c>
      <c r="U43" s="10">
        <f t="shared" si="1"/>
        <v>22.936240665443549</v>
      </c>
      <c r="V43" s="8">
        <v>42</v>
      </c>
      <c r="W43" s="12"/>
    </row>
    <row r="44" spans="1:23" ht="14.25" customHeight="1" x14ac:dyDescent="0.25">
      <c r="A44" s="8" t="s">
        <v>67</v>
      </c>
      <c r="B44" s="8"/>
      <c r="C44" s="8" t="s">
        <v>153</v>
      </c>
      <c r="D44" s="8" t="s">
        <v>154</v>
      </c>
      <c r="E44" s="8" t="s">
        <v>25</v>
      </c>
      <c r="F44" s="8" t="s">
        <v>26</v>
      </c>
      <c r="G44" s="8" t="s">
        <v>27</v>
      </c>
      <c r="H44" s="8"/>
      <c r="I44" s="8"/>
      <c r="J44" s="8" t="s">
        <v>34</v>
      </c>
      <c r="K44" s="14" t="s">
        <v>155</v>
      </c>
      <c r="L44" s="8"/>
      <c r="M44" s="8">
        <v>6</v>
      </c>
      <c r="N44" s="10">
        <f t="shared" si="0"/>
        <v>6.5889897980474625</v>
      </c>
      <c r="O44" s="9" t="s">
        <v>156</v>
      </c>
      <c r="P44" s="8"/>
      <c r="Q44" s="9" t="s">
        <v>157</v>
      </c>
      <c r="R44" s="8">
        <v>85</v>
      </c>
      <c r="S44" s="15">
        <f t="shared" ref="S44:S51" si="3">R44/90*100</f>
        <v>94.444444444444443</v>
      </c>
      <c r="T44" s="8" t="s">
        <v>31</v>
      </c>
      <c r="U44" s="10">
        <f t="shared" si="1"/>
        <v>22.271191838437971</v>
      </c>
      <c r="V44" s="8">
        <v>43</v>
      </c>
      <c r="W44" s="12"/>
    </row>
    <row r="45" spans="1:23" ht="14.25" customHeight="1" x14ac:dyDescent="0.25">
      <c r="A45" s="8" t="s">
        <v>76</v>
      </c>
      <c r="B45" s="8"/>
      <c r="C45" s="8">
        <v>11716080</v>
      </c>
      <c r="D45" s="8" t="s">
        <v>158</v>
      </c>
      <c r="E45" s="8" t="s">
        <v>25</v>
      </c>
      <c r="F45" s="8" t="s">
        <v>26</v>
      </c>
      <c r="G45" s="8" t="s">
        <v>27</v>
      </c>
      <c r="H45" s="8"/>
      <c r="I45" s="8"/>
      <c r="J45" s="8" t="s">
        <v>34</v>
      </c>
      <c r="K45" s="9"/>
      <c r="L45" s="8"/>
      <c r="M45" s="8">
        <v>0</v>
      </c>
      <c r="N45" s="10">
        <f t="shared" si="0"/>
        <v>0</v>
      </c>
      <c r="O45" s="9" t="s">
        <v>159</v>
      </c>
      <c r="P45" s="8">
        <v>9</v>
      </c>
      <c r="Q45" s="9" t="s">
        <v>160</v>
      </c>
      <c r="R45" s="8">
        <v>90</v>
      </c>
      <c r="S45" s="15">
        <f t="shared" si="3"/>
        <v>100</v>
      </c>
      <c r="T45" s="8" t="s">
        <v>161</v>
      </c>
      <c r="U45" s="10">
        <f t="shared" si="1"/>
        <v>19.8</v>
      </c>
      <c r="V45" s="8">
        <v>44</v>
      </c>
      <c r="W45" s="12"/>
    </row>
    <row r="46" spans="1:23" ht="14.25" customHeight="1" x14ac:dyDescent="0.25">
      <c r="A46" s="8" t="s">
        <v>22</v>
      </c>
      <c r="B46" s="8"/>
      <c r="C46" s="8">
        <v>11816095</v>
      </c>
      <c r="D46" s="8" t="s">
        <v>162</v>
      </c>
      <c r="E46" s="8" t="s">
        <v>25</v>
      </c>
      <c r="F46" s="8" t="s">
        <v>26</v>
      </c>
      <c r="G46" s="8" t="s">
        <v>27</v>
      </c>
      <c r="H46" s="8"/>
      <c r="I46" s="8"/>
      <c r="J46" s="8" t="s">
        <v>34</v>
      </c>
      <c r="K46" s="19"/>
      <c r="L46" s="8"/>
      <c r="M46" s="8">
        <v>0</v>
      </c>
      <c r="N46" s="10">
        <f t="shared" si="0"/>
        <v>0</v>
      </c>
      <c r="O46" s="9" t="s">
        <v>164</v>
      </c>
      <c r="P46" s="8">
        <v>10</v>
      </c>
      <c r="Q46" s="9" t="s">
        <v>165</v>
      </c>
      <c r="R46" s="8">
        <v>88</v>
      </c>
      <c r="S46" s="11">
        <f t="shared" si="3"/>
        <v>97.777777777777771</v>
      </c>
      <c r="T46" s="8" t="s">
        <v>1008</v>
      </c>
      <c r="U46" s="10">
        <f t="shared" si="1"/>
        <v>19.600000000000001</v>
      </c>
      <c r="V46" s="8">
        <v>45</v>
      </c>
      <c r="W46" s="20"/>
    </row>
    <row r="47" spans="1:23" ht="14.25" customHeight="1" x14ac:dyDescent="0.25">
      <c r="A47" s="8" t="s">
        <v>81</v>
      </c>
      <c r="B47" s="8"/>
      <c r="C47" s="8">
        <v>11516040</v>
      </c>
      <c r="D47" s="8" t="s">
        <v>250</v>
      </c>
      <c r="E47" s="8" t="s">
        <v>25</v>
      </c>
      <c r="F47" s="8" t="s">
        <v>26</v>
      </c>
      <c r="G47" s="8" t="s">
        <v>27</v>
      </c>
      <c r="H47" s="8"/>
      <c r="I47" s="8"/>
      <c r="J47" s="8" t="s">
        <v>34</v>
      </c>
      <c r="K47" s="9"/>
      <c r="L47" s="18" t="s">
        <v>1018</v>
      </c>
      <c r="M47" s="8">
        <v>3</v>
      </c>
      <c r="N47" s="10">
        <f>M47/91.061*100</f>
        <v>3.2944948990237313</v>
      </c>
      <c r="O47" s="9"/>
      <c r="P47" s="8"/>
      <c r="Q47" s="9"/>
      <c r="R47" s="16" t="s">
        <v>251</v>
      </c>
      <c r="S47" s="15">
        <f>R47/90*100</f>
        <v>93.333333333333329</v>
      </c>
      <c r="T47" s="8" t="s">
        <v>40</v>
      </c>
      <c r="U47" s="10">
        <f>0.8*N47+0.2*(P47+0.9*S47)</f>
        <v>19.435595919218986</v>
      </c>
      <c r="V47" s="8">
        <v>46</v>
      </c>
      <c r="W47" s="12"/>
    </row>
    <row r="48" spans="1:23" ht="14.25" customHeight="1" x14ac:dyDescent="0.25">
      <c r="A48" s="8" t="s">
        <v>81</v>
      </c>
      <c r="B48" s="8"/>
      <c r="C48" s="8">
        <v>11816085</v>
      </c>
      <c r="D48" s="8" t="s">
        <v>166</v>
      </c>
      <c r="E48" s="8" t="s">
        <v>25</v>
      </c>
      <c r="F48" s="8" t="s">
        <v>26</v>
      </c>
      <c r="G48" s="8" t="s">
        <v>27</v>
      </c>
      <c r="H48" s="8"/>
      <c r="I48" s="8"/>
      <c r="J48" s="8" t="s">
        <v>34</v>
      </c>
      <c r="K48" s="9"/>
      <c r="L48" s="21"/>
      <c r="M48" s="8">
        <v>0</v>
      </c>
      <c r="N48" s="10">
        <f t="shared" si="0"/>
        <v>0</v>
      </c>
      <c r="O48" s="9" t="s">
        <v>167</v>
      </c>
      <c r="P48" s="8">
        <v>10</v>
      </c>
      <c r="Q48" s="9"/>
      <c r="R48" s="16">
        <v>87</v>
      </c>
      <c r="S48" s="15">
        <f t="shared" si="3"/>
        <v>96.666666666666671</v>
      </c>
      <c r="T48" s="8" t="s">
        <v>161</v>
      </c>
      <c r="U48" s="10">
        <f t="shared" si="1"/>
        <v>19.400000000000002</v>
      </c>
      <c r="V48" s="8">
        <v>47</v>
      </c>
      <c r="W48" s="12"/>
    </row>
    <row r="49" spans="1:23" ht="14.25" customHeight="1" x14ac:dyDescent="0.25">
      <c r="A49" s="8" t="s">
        <v>76</v>
      </c>
      <c r="B49" s="8"/>
      <c r="C49" s="8">
        <v>11616077</v>
      </c>
      <c r="D49" s="8" t="s">
        <v>168</v>
      </c>
      <c r="E49" s="8" t="s">
        <v>25</v>
      </c>
      <c r="F49" s="8" t="s">
        <v>26</v>
      </c>
      <c r="G49" s="8" t="s">
        <v>27</v>
      </c>
      <c r="H49" s="16"/>
      <c r="I49" s="16"/>
      <c r="J49" s="8" t="s">
        <v>34</v>
      </c>
      <c r="K49" s="9"/>
      <c r="L49" s="8"/>
      <c r="M49" s="8">
        <v>0</v>
      </c>
      <c r="N49" s="10">
        <f t="shared" si="0"/>
        <v>0</v>
      </c>
      <c r="O49" s="9" t="s">
        <v>169</v>
      </c>
      <c r="P49" s="8">
        <v>9</v>
      </c>
      <c r="Q49" s="9" t="s">
        <v>170</v>
      </c>
      <c r="R49" s="8">
        <v>87</v>
      </c>
      <c r="S49" s="15">
        <f t="shared" si="3"/>
        <v>96.666666666666671</v>
      </c>
      <c r="T49" s="8" t="s">
        <v>161</v>
      </c>
      <c r="U49" s="10">
        <f t="shared" si="1"/>
        <v>19.200000000000003</v>
      </c>
      <c r="V49" s="8">
        <v>48</v>
      </c>
      <c r="W49" s="12"/>
    </row>
    <row r="50" spans="1:23" ht="14.25" customHeight="1" x14ac:dyDescent="0.25">
      <c r="A50" s="8" t="s">
        <v>67</v>
      </c>
      <c r="B50" s="8"/>
      <c r="C50" s="8">
        <v>11616024</v>
      </c>
      <c r="D50" s="8" t="s">
        <v>171</v>
      </c>
      <c r="E50" s="8" t="s">
        <v>25</v>
      </c>
      <c r="F50" s="8" t="s">
        <v>26</v>
      </c>
      <c r="G50" s="8" t="s">
        <v>27</v>
      </c>
      <c r="H50" s="8"/>
      <c r="I50" s="8"/>
      <c r="J50" s="8" t="s">
        <v>34</v>
      </c>
      <c r="K50" s="9"/>
      <c r="L50" s="8"/>
      <c r="M50" s="8">
        <v>0</v>
      </c>
      <c r="N50" s="10">
        <f t="shared" si="0"/>
        <v>0</v>
      </c>
      <c r="O50" s="9" t="s">
        <v>172</v>
      </c>
      <c r="P50" s="8">
        <v>3</v>
      </c>
      <c r="Q50" s="9"/>
      <c r="R50" s="8">
        <v>90</v>
      </c>
      <c r="S50" s="15">
        <f t="shared" si="3"/>
        <v>100</v>
      </c>
      <c r="T50" s="8" t="s">
        <v>40</v>
      </c>
      <c r="U50" s="10">
        <f t="shared" si="1"/>
        <v>18.600000000000001</v>
      </c>
      <c r="V50" s="8">
        <v>49</v>
      </c>
      <c r="W50" s="12"/>
    </row>
    <row r="51" spans="1:23" ht="14.25" customHeight="1" x14ac:dyDescent="0.25">
      <c r="A51" s="8" t="s">
        <v>67</v>
      </c>
      <c r="B51" s="8"/>
      <c r="C51" s="8">
        <v>11616036</v>
      </c>
      <c r="D51" s="8" t="s">
        <v>173</v>
      </c>
      <c r="E51" s="8" t="s">
        <v>25</v>
      </c>
      <c r="F51" s="8" t="s">
        <v>26</v>
      </c>
      <c r="G51" s="8" t="s">
        <v>27</v>
      </c>
      <c r="H51" s="8"/>
      <c r="I51" s="8"/>
      <c r="J51" s="8" t="s">
        <v>34</v>
      </c>
      <c r="K51" s="9"/>
      <c r="L51" s="8"/>
      <c r="M51" s="8">
        <v>0</v>
      </c>
      <c r="N51" s="10">
        <f t="shared" si="0"/>
        <v>0</v>
      </c>
      <c r="O51" s="9" t="s">
        <v>174</v>
      </c>
      <c r="P51" s="8">
        <v>3</v>
      </c>
      <c r="Q51" s="9"/>
      <c r="R51" s="8">
        <v>90</v>
      </c>
      <c r="S51" s="15">
        <f t="shared" si="3"/>
        <v>100</v>
      </c>
      <c r="T51" s="8" t="s">
        <v>40</v>
      </c>
      <c r="U51" s="10">
        <f t="shared" si="1"/>
        <v>18.600000000000001</v>
      </c>
      <c r="V51" s="8">
        <v>49</v>
      </c>
      <c r="W51" s="12"/>
    </row>
    <row r="52" spans="1:23" ht="14.25" customHeight="1" x14ac:dyDescent="0.25">
      <c r="A52" s="8" t="s">
        <v>59</v>
      </c>
      <c r="B52" s="8"/>
      <c r="C52" s="8">
        <v>11516052</v>
      </c>
      <c r="D52" s="8" t="s">
        <v>177</v>
      </c>
      <c r="E52" s="8" t="s">
        <v>25</v>
      </c>
      <c r="F52" s="8" t="s">
        <v>26</v>
      </c>
      <c r="G52" s="8" t="s">
        <v>27</v>
      </c>
      <c r="H52" s="8"/>
      <c r="I52" s="8"/>
      <c r="J52" s="8" t="s">
        <v>28</v>
      </c>
      <c r="K52" s="9"/>
      <c r="L52" s="8"/>
      <c r="M52" s="8">
        <v>0</v>
      </c>
      <c r="N52" s="10">
        <f>M52/91.061*100</f>
        <v>0</v>
      </c>
      <c r="O52" s="9"/>
      <c r="P52" s="8">
        <v>0</v>
      </c>
      <c r="Q52" s="9"/>
      <c r="R52" s="8">
        <v>90</v>
      </c>
      <c r="S52" s="11">
        <f>R52/90*100</f>
        <v>100</v>
      </c>
      <c r="T52" s="8" t="s">
        <v>40</v>
      </c>
      <c r="U52" s="10">
        <f>0.8*N52+0.2*(P52+0.9*S52)</f>
        <v>18</v>
      </c>
      <c r="V52" s="8">
        <v>51</v>
      </c>
      <c r="W52" s="12"/>
    </row>
    <row r="53" spans="1:23" ht="14.25" customHeight="1" x14ac:dyDescent="0.25">
      <c r="A53" s="8" t="s">
        <v>178</v>
      </c>
      <c r="B53" s="8"/>
      <c r="C53" s="16">
        <v>11516054</v>
      </c>
      <c r="D53" s="8" t="s">
        <v>179</v>
      </c>
      <c r="E53" s="8" t="s">
        <v>25</v>
      </c>
      <c r="F53" s="8" t="s">
        <v>26</v>
      </c>
      <c r="G53" s="8" t="s">
        <v>27</v>
      </c>
      <c r="H53" s="8"/>
      <c r="I53" s="8"/>
      <c r="J53" s="8" t="s">
        <v>34</v>
      </c>
      <c r="K53" s="9"/>
      <c r="L53" s="8"/>
      <c r="M53" s="8">
        <v>0</v>
      </c>
      <c r="N53" s="10">
        <f>M53/91.061*100</f>
        <v>0</v>
      </c>
      <c r="O53" s="9" t="s">
        <v>180</v>
      </c>
      <c r="P53" s="8">
        <v>0</v>
      </c>
      <c r="Q53" s="9" t="s">
        <v>181</v>
      </c>
      <c r="R53" s="8">
        <v>90</v>
      </c>
      <c r="S53" s="11">
        <f>R53/90*100</f>
        <v>100</v>
      </c>
      <c r="T53" s="8" t="s">
        <v>31</v>
      </c>
      <c r="U53" s="10">
        <f>0.8*N53+0.2*(P53+0.9*S53)</f>
        <v>18</v>
      </c>
      <c r="V53" s="8">
        <v>51</v>
      </c>
      <c r="W53" s="12"/>
    </row>
    <row r="54" spans="1:23" ht="14.25" customHeight="1" x14ac:dyDescent="0.25">
      <c r="A54" s="8" t="s">
        <v>73</v>
      </c>
      <c r="B54" s="8"/>
      <c r="C54" s="8">
        <v>11816086</v>
      </c>
      <c r="D54" s="8" t="s">
        <v>175</v>
      </c>
      <c r="E54" s="8" t="s">
        <v>25</v>
      </c>
      <c r="F54" s="8" t="s">
        <v>26</v>
      </c>
      <c r="G54" s="8" t="s">
        <v>27</v>
      </c>
      <c r="H54" s="8"/>
      <c r="I54" s="8"/>
      <c r="J54" s="8" t="s">
        <v>34</v>
      </c>
      <c r="K54" s="9"/>
      <c r="L54" s="8"/>
      <c r="M54" s="8">
        <v>0</v>
      </c>
      <c r="N54" s="10">
        <f t="shared" si="0"/>
        <v>0</v>
      </c>
      <c r="O54" s="9" t="s">
        <v>176</v>
      </c>
      <c r="P54" s="8">
        <v>5</v>
      </c>
      <c r="Q54" s="9"/>
      <c r="R54" s="8">
        <v>85</v>
      </c>
      <c r="S54" s="11">
        <f>(R54/90)*100</f>
        <v>94.444444444444443</v>
      </c>
      <c r="T54" s="8" t="s">
        <v>40</v>
      </c>
      <c r="U54" s="10">
        <f t="shared" si="1"/>
        <v>18</v>
      </c>
      <c r="V54" s="8">
        <v>51</v>
      </c>
      <c r="W54" s="12"/>
    </row>
    <row r="55" spans="1:23" ht="14.25" customHeight="1" x14ac:dyDescent="0.25">
      <c r="A55" s="8" t="s">
        <v>76</v>
      </c>
      <c r="B55" s="8"/>
      <c r="C55" s="8">
        <v>11716022</v>
      </c>
      <c r="D55" s="8" t="s">
        <v>182</v>
      </c>
      <c r="E55" s="8" t="s">
        <v>25</v>
      </c>
      <c r="F55" s="8" t="s">
        <v>26</v>
      </c>
      <c r="G55" s="8" t="s">
        <v>27</v>
      </c>
      <c r="H55" s="16"/>
      <c r="I55" s="16"/>
      <c r="J55" s="8" t="s">
        <v>34</v>
      </c>
      <c r="K55" s="9"/>
      <c r="L55" s="8"/>
      <c r="M55" s="8">
        <v>0</v>
      </c>
      <c r="N55" s="10">
        <f t="shared" si="0"/>
        <v>0</v>
      </c>
      <c r="O55" s="9" t="s">
        <v>183</v>
      </c>
      <c r="P55" s="8">
        <v>3</v>
      </c>
      <c r="Q55" s="9" t="s">
        <v>184</v>
      </c>
      <c r="R55" s="8">
        <v>86</v>
      </c>
      <c r="S55" s="15">
        <f t="shared" ref="S55:S60" si="4">R55/90*100</f>
        <v>95.555555555555557</v>
      </c>
      <c r="T55" s="8" t="s">
        <v>40</v>
      </c>
      <c r="U55" s="10">
        <f t="shared" si="1"/>
        <v>17.8</v>
      </c>
      <c r="V55" s="8">
        <v>54</v>
      </c>
      <c r="W55" s="12"/>
    </row>
    <row r="56" spans="1:23" ht="14.25" customHeight="1" x14ac:dyDescent="0.25">
      <c r="A56" s="8" t="s">
        <v>76</v>
      </c>
      <c r="B56" s="8"/>
      <c r="C56" s="8">
        <v>11816018</v>
      </c>
      <c r="D56" s="8" t="s">
        <v>185</v>
      </c>
      <c r="E56" s="8" t="s">
        <v>25</v>
      </c>
      <c r="F56" s="8" t="s">
        <v>26</v>
      </c>
      <c r="G56" s="8" t="s">
        <v>27</v>
      </c>
      <c r="H56" s="8"/>
      <c r="I56" s="8"/>
      <c r="J56" s="8" t="s">
        <v>34</v>
      </c>
      <c r="K56" s="9"/>
      <c r="L56" s="8"/>
      <c r="M56" s="8">
        <v>0</v>
      </c>
      <c r="N56" s="10">
        <f t="shared" si="0"/>
        <v>0</v>
      </c>
      <c r="O56" s="9" t="s">
        <v>186</v>
      </c>
      <c r="P56" s="8">
        <v>3</v>
      </c>
      <c r="Q56" s="9" t="s">
        <v>187</v>
      </c>
      <c r="R56" s="8">
        <v>86</v>
      </c>
      <c r="S56" s="15">
        <f t="shared" si="4"/>
        <v>95.555555555555557</v>
      </c>
      <c r="T56" s="8" t="s">
        <v>40</v>
      </c>
      <c r="U56" s="10">
        <f t="shared" si="1"/>
        <v>17.8</v>
      </c>
      <c r="V56" s="8">
        <v>54</v>
      </c>
      <c r="W56" s="12"/>
    </row>
    <row r="57" spans="1:23" ht="14.25" customHeight="1" x14ac:dyDescent="0.25">
      <c r="A57" s="8" t="s">
        <v>76</v>
      </c>
      <c r="B57" s="8"/>
      <c r="C57" s="8">
        <v>11816083</v>
      </c>
      <c r="D57" s="8" t="s">
        <v>188</v>
      </c>
      <c r="E57" s="8" t="s">
        <v>25</v>
      </c>
      <c r="F57" s="8" t="s">
        <v>26</v>
      </c>
      <c r="G57" s="8" t="s">
        <v>27</v>
      </c>
      <c r="H57" s="8"/>
      <c r="I57" s="8"/>
      <c r="J57" s="8" t="s">
        <v>34</v>
      </c>
      <c r="K57" s="9"/>
      <c r="L57" s="8"/>
      <c r="M57" s="8">
        <v>0</v>
      </c>
      <c r="N57" s="10">
        <f t="shared" si="0"/>
        <v>0</v>
      </c>
      <c r="O57" s="9" t="s">
        <v>189</v>
      </c>
      <c r="P57" s="8">
        <v>3</v>
      </c>
      <c r="Q57" s="9" t="s">
        <v>190</v>
      </c>
      <c r="R57" s="8">
        <v>86</v>
      </c>
      <c r="S57" s="15">
        <f t="shared" si="4"/>
        <v>95.555555555555557</v>
      </c>
      <c r="T57" s="8" t="s">
        <v>40</v>
      </c>
      <c r="U57" s="10">
        <f t="shared" si="1"/>
        <v>17.8</v>
      </c>
      <c r="V57" s="8">
        <v>54</v>
      </c>
      <c r="W57" s="12"/>
    </row>
    <row r="58" spans="1:23" ht="14.25" customHeight="1" x14ac:dyDescent="0.25">
      <c r="A58" s="8" t="s">
        <v>59</v>
      </c>
      <c r="B58" s="8"/>
      <c r="C58" s="8">
        <v>11516051</v>
      </c>
      <c r="D58" s="8" t="s">
        <v>191</v>
      </c>
      <c r="E58" s="8" t="s">
        <v>25</v>
      </c>
      <c r="F58" s="8" t="s">
        <v>26</v>
      </c>
      <c r="G58" s="8" t="s">
        <v>27</v>
      </c>
      <c r="H58" s="8"/>
      <c r="I58" s="8"/>
      <c r="J58" s="8" t="s">
        <v>34</v>
      </c>
      <c r="K58" s="9"/>
      <c r="L58" s="8"/>
      <c r="M58" s="8">
        <v>0</v>
      </c>
      <c r="N58" s="10">
        <f t="shared" si="0"/>
        <v>0</v>
      </c>
      <c r="O58" s="9" t="s">
        <v>192</v>
      </c>
      <c r="P58" s="8">
        <v>0</v>
      </c>
      <c r="Q58" s="9" t="s">
        <v>193</v>
      </c>
      <c r="R58" s="8">
        <v>89</v>
      </c>
      <c r="S58" s="11">
        <f t="shared" si="4"/>
        <v>98.888888888888886</v>
      </c>
      <c r="T58" s="8" t="s">
        <v>40</v>
      </c>
      <c r="U58" s="10">
        <f t="shared" si="1"/>
        <v>17.8</v>
      </c>
      <c r="V58" s="8">
        <v>54</v>
      </c>
      <c r="W58" s="12"/>
    </row>
    <row r="59" spans="1:23" ht="14.25" customHeight="1" x14ac:dyDescent="0.25">
      <c r="A59" s="8" t="s">
        <v>59</v>
      </c>
      <c r="B59" s="8"/>
      <c r="C59" s="8">
        <v>11616051</v>
      </c>
      <c r="D59" s="8" t="s">
        <v>194</v>
      </c>
      <c r="E59" s="8" t="s">
        <v>25</v>
      </c>
      <c r="F59" s="8" t="s">
        <v>26</v>
      </c>
      <c r="G59" s="8" t="s">
        <v>27</v>
      </c>
      <c r="H59" s="8"/>
      <c r="I59" s="8"/>
      <c r="J59" s="8" t="s">
        <v>34</v>
      </c>
      <c r="K59" s="9"/>
      <c r="L59" s="8"/>
      <c r="M59" s="8">
        <v>0</v>
      </c>
      <c r="N59" s="10">
        <f t="shared" si="0"/>
        <v>0</v>
      </c>
      <c r="O59" s="9" t="s">
        <v>195</v>
      </c>
      <c r="P59" s="8">
        <v>0</v>
      </c>
      <c r="Q59" s="9"/>
      <c r="R59" s="8">
        <v>89</v>
      </c>
      <c r="S59" s="11">
        <f t="shared" si="4"/>
        <v>98.888888888888886</v>
      </c>
      <c r="T59" s="8"/>
      <c r="U59" s="10">
        <f t="shared" si="1"/>
        <v>17.8</v>
      </c>
      <c r="V59" s="8">
        <v>54</v>
      </c>
      <c r="W59" s="12"/>
    </row>
    <row r="60" spans="1:23" ht="14.25" customHeight="1" x14ac:dyDescent="0.25">
      <c r="A60" s="8" t="s">
        <v>22</v>
      </c>
      <c r="B60" s="8"/>
      <c r="C60" s="8">
        <v>11816021</v>
      </c>
      <c r="D60" s="8" t="s">
        <v>196</v>
      </c>
      <c r="E60" s="8" t="s">
        <v>25</v>
      </c>
      <c r="F60" s="8" t="s">
        <v>26</v>
      </c>
      <c r="G60" s="8" t="s">
        <v>27</v>
      </c>
      <c r="H60" s="8"/>
      <c r="I60" s="8"/>
      <c r="J60" s="8" t="s">
        <v>34</v>
      </c>
      <c r="K60" s="19"/>
      <c r="L60" s="8"/>
      <c r="M60" s="8">
        <v>0</v>
      </c>
      <c r="N60" s="10">
        <f t="shared" si="0"/>
        <v>0</v>
      </c>
      <c r="O60" s="9"/>
      <c r="P60" s="8">
        <v>0</v>
      </c>
      <c r="Q60" s="9" t="s">
        <v>197</v>
      </c>
      <c r="R60" s="8">
        <v>89</v>
      </c>
      <c r="S60" s="11">
        <f t="shared" si="4"/>
        <v>98.888888888888886</v>
      </c>
      <c r="T60" s="8"/>
      <c r="U60" s="10">
        <f t="shared" si="1"/>
        <v>17.8</v>
      </c>
      <c r="V60" s="8">
        <v>54</v>
      </c>
      <c r="W60" s="12"/>
    </row>
    <row r="61" spans="1:23" ht="14.25" customHeight="1" x14ac:dyDescent="0.25">
      <c r="A61" s="8" t="s">
        <v>41</v>
      </c>
      <c r="B61" s="8"/>
      <c r="C61" s="8">
        <v>11616019</v>
      </c>
      <c r="D61" s="8" t="s">
        <v>198</v>
      </c>
      <c r="E61" s="8" t="s">
        <v>25</v>
      </c>
      <c r="F61" s="8" t="s">
        <v>26</v>
      </c>
      <c r="G61" s="8" t="s">
        <v>27</v>
      </c>
      <c r="H61" s="8"/>
      <c r="I61" s="8"/>
      <c r="J61" s="8" t="s">
        <v>28</v>
      </c>
      <c r="K61" s="9"/>
      <c r="L61" s="8"/>
      <c r="M61" s="8">
        <v>0</v>
      </c>
      <c r="N61" s="10">
        <f t="shared" si="0"/>
        <v>0</v>
      </c>
      <c r="O61" s="9" t="s">
        <v>199</v>
      </c>
      <c r="P61" s="8">
        <v>2</v>
      </c>
      <c r="Q61" s="9" t="s">
        <v>200</v>
      </c>
      <c r="R61" s="8">
        <v>86</v>
      </c>
      <c r="S61" s="11">
        <f>R61/89*100</f>
        <v>96.629213483146074</v>
      </c>
      <c r="T61" s="8" t="s">
        <v>1009</v>
      </c>
      <c r="U61" s="10">
        <f t="shared" si="1"/>
        <v>17.793258426966293</v>
      </c>
      <c r="V61" s="8">
        <v>60</v>
      </c>
      <c r="W61" s="12"/>
    </row>
    <row r="62" spans="1:23" ht="14.25" customHeight="1" x14ac:dyDescent="0.25">
      <c r="A62" s="8" t="s">
        <v>32</v>
      </c>
      <c r="B62" s="8"/>
      <c r="C62" s="8">
        <v>11516064</v>
      </c>
      <c r="D62" s="8" t="s">
        <v>201</v>
      </c>
      <c r="E62" s="8" t="s">
        <v>25</v>
      </c>
      <c r="F62" s="8" t="s">
        <v>26</v>
      </c>
      <c r="G62" s="8" t="s">
        <v>27</v>
      </c>
      <c r="H62" s="8" t="s">
        <v>202</v>
      </c>
      <c r="I62" s="8"/>
      <c r="J62" s="8" t="s">
        <v>34</v>
      </c>
      <c r="K62" s="9"/>
      <c r="L62" s="8"/>
      <c r="M62" s="8">
        <v>0</v>
      </c>
      <c r="N62" s="10">
        <f t="shared" si="0"/>
        <v>0</v>
      </c>
      <c r="O62" s="9" t="s">
        <v>203</v>
      </c>
      <c r="P62" s="8">
        <v>3</v>
      </c>
      <c r="Q62" s="9" t="s">
        <v>204</v>
      </c>
      <c r="R62" s="8">
        <v>85</v>
      </c>
      <c r="S62" s="10">
        <f>R62/89*100</f>
        <v>95.50561797752809</v>
      </c>
      <c r="T62" s="8" t="s">
        <v>40</v>
      </c>
      <c r="U62" s="10">
        <f t="shared" si="1"/>
        <v>17.791011235955057</v>
      </c>
      <c r="V62" s="8">
        <v>60</v>
      </c>
      <c r="W62" s="12"/>
    </row>
    <row r="63" spans="1:23" ht="14.25" customHeight="1" x14ac:dyDescent="0.25">
      <c r="A63" s="8" t="s">
        <v>73</v>
      </c>
      <c r="B63" s="8"/>
      <c r="C63" s="8">
        <v>11516050</v>
      </c>
      <c r="D63" s="8" t="s">
        <v>205</v>
      </c>
      <c r="E63" s="8" t="s">
        <v>25</v>
      </c>
      <c r="F63" s="8" t="s">
        <v>26</v>
      </c>
      <c r="G63" s="8" t="s">
        <v>27</v>
      </c>
      <c r="H63" s="8"/>
      <c r="I63" s="8"/>
      <c r="J63" s="8" t="s">
        <v>34</v>
      </c>
      <c r="K63" s="19"/>
      <c r="L63" s="8"/>
      <c r="M63" s="8">
        <v>0</v>
      </c>
      <c r="N63" s="10">
        <f t="shared" si="0"/>
        <v>0</v>
      </c>
      <c r="O63" s="9"/>
      <c r="P63" s="8">
        <v>0</v>
      </c>
      <c r="Q63" s="9" t="s">
        <v>206</v>
      </c>
      <c r="R63" s="8">
        <v>88</v>
      </c>
      <c r="S63" s="11">
        <f>(R63/90)*100</f>
        <v>97.777777777777771</v>
      </c>
      <c r="T63" s="8"/>
      <c r="U63" s="10">
        <f t="shared" si="1"/>
        <v>17.600000000000001</v>
      </c>
      <c r="V63" s="8">
        <v>62</v>
      </c>
      <c r="W63" s="12"/>
    </row>
    <row r="64" spans="1:23" ht="14.25" customHeight="1" x14ac:dyDescent="0.25">
      <c r="A64" s="8" t="s">
        <v>73</v>
      </c>
      <c r="B64" s="8"/>
      <c r="C64" s="8">
        <v>11716055</v>
      </c>
      <c r="D64" s="8" t="s">
        <v>207</v>
      </c>
      <c r="E64" s="8" t="s">
        <v>25</v>
      </c>
      <c r="F64" s="8" t="s">
        <v>26</v>
      </c>
      <c r="G64" s="8" t="s">
        <v>27</v>
      </c>
      <c r="H64" s="8"/>
      <c r="I64" s="8"/>
      <c r="J64" s="8" t="s">
        <v>34</v>
      </c>
      <c r="K64" s="19"/>
      <c r="L64" s="8"/>
      <c r="M64" s="8">
        <v>0</v>
      </c>
      <c r="N64" s="10">
        <f t="shared" si="0"/>
        <v>0</v>
      </c>
      <c r="O64" s="9"/>
      <c r="P64" s="8">
        <v>0</v>
      </c>
      <c r="Q64" s="9" t="s">
        <v>208</v>
      </c>
      <c r="R64" s="8">
        <v>88</v>
      </c>
      <c r="S64" s="11">
        <f>(R64/90)*100</f>
        <v>97.777777777777771</v>
      </c>
      <c r="T64" s="8"/>
      <c r="U64" s="10">
        <f t="shared" si="1"/>
        <v>17.600000000000001</v>
      </c>
      <c r="V64" s="8">
        <v>62</v>
      </c>
      <c r="W64" s="12"/>
    </row>
    <row r="65" spans="1:23" ht="14.25" customHeight="1" x14ac:dyDescent="0.25">
      <c r="A65" s="8" t="s">
        <v>76</v>
      </c>
      <c r="B65" s="8"/>
      <c r="C65" s="8">
        <v>11716082</v>
      </c>
      <c r="D65" s="8" t="s">
        <v>209</v>
      </c>
      <c r="E65" s="8" t="s">
        <v>25</v>
      </c>
      <c r="F65" s="8" t="s">
        <v>26</v>
      </c>
      <c r="G65" s="8" t="s">
        <v>27</v>
      </c>
      <c r="H65" s="8"/>
      <c r="I65" s="8"/>
      <c r="J65" s="8" t="s">
        <v>34</v>
      </c>
      <c r="K65" s="9"/>
      <c r="L65" s="8"/>
      <c r="M65" s="8">
        <v>0</v>
      </c>
      <c r="N65" s="10">
        <f t="shared" si="0"/>
        <v>0</v>
      </c>
      <c r="O65" s="9" t="s">
        <v>210</v>
      </c>
      <c r="P65" s="8">
        <v>3</v>
      </c>
      <c r="Q65" s="9" t="s">
        <v>211</v>
      </c>
      <c r="R65" s="8">
        <v>84</v>
      </c>
      <c r="S65" s="15">
        <f>R65/90*100</f>
        <v>93.333333333333329</v>
      </c>
      <c r="T65" s="8" t="s">
        <v>40</v>
      </c>
      <c r="U65" s="10">
        <f t="shared" si="1"/>
        <v>17.400000000000002</v>
      </c>
      <c r="V65" s="8">
        <v>64</v>
      </c>
      <c r="W65" s="12"/>
    </row>
    <row r="66" spans="1:23" ht="14.25" customHeight="1" x14ac:dyDescent="0.25">
      <c r="A66" s="8" t="s">
        <v>178</v>
      </c>
      <c r="B66" s="8"/>
      <c r="C66" s="16">
        <v>11616054</v>
      </c>
      <c r="D66" s="8" t="s">
        <v>212</v>
      </c>
      <c r="E66" s="8" t="s">
        <v>25</v>
      </c>
      <c r="F66" s="8" t="s">
        <v>26</v>
      </c>
      <c r="G66" s="8" t="s">
        <v>27</v>
      </c>
      <c r="H66" s="8"/>
      <c r="I66" s="8"/>
      <c r="J66" s="8" t="s">
        <v>28</v>
      </c>
      <c r="K66" s="9"/>
      <c r="L66" s="8"/>
      <c r="M66" s="8">
        <v>0</v>
      </c>
      <c r="N66" s="10">
        <f t="shared" si="0"/>
        <v>0</v>
      </c>
      <c r="O66" s="9" t="s">
        <v>79</v>
      </c>
      <c r="P66" s="8">
        <v>3</v>
      </c>
      <c r="Q66" s="9"/>
      <c r="R66" s="8">
        <v>84</v>
      </c>
      <c r="S66" s="11">
        <f>R66/90*100</f>
        <v>93.333333333333329</v>
      </c>
      <c r="T66" s="8"/>
      <c r="U66" s="10">
        <f t="shared" si="1"/>
        <v>17.400000000000002</v>
      </c>
      <c r="V66" s="8">
        <v>64</v>
      </c>
      <c r="W66" s="12"/>
    </row>
    <row r="67" spans="1:23" ht="14.25" customHeight="1" x14ac:dyDescent="0.25">
      <c r="A67" s="8" t="s">
        <v>32</v>
      </c>
      <c r="B67" s="8"/>
      <c r="C67" s="8">
        <v>11516063</v>
      </c>
      <c r="D67" s="8" t="s">
        <v>213</v>
      </c>
      <c r="E67" s="8" t="s">
        <v>25</v>
      </c>
      <c r="F67" s="8" t="s">
        <v>26</v>
      </c>
      <c r="G67" s="8" t="s">
        <v>27</v>
      </c>
      <c r="H67" s="8"/>
      <c r="I67" s="8"/>
      <c r="J67" s="8" t="s">
        <v>34</v>
      </c>
      <c r="K67" s="9"/>
      <c r="L67" s="8"/>
      <c r="M67" s="8">
        <v>0</v>
      </c>
      <c r="N67" s="10">
        <f t="shared" ref="N67:N85" si="5">M67/91.061*100</f>
        <v>0</v>
      </c>
      <c r="O67" s="9" t="s">
        <v>214</v>
      </c>
      <c r="P67" s="8">
        <v>2</v>
      </c>
      <c r="Q67" s="9" t="s">
        <v>47</v>
      </c>
      <c r="R67" s="8">
        <v>84</v>
      </c>
      <c r="S67" s="10">
        <f>R67/89*100</f>
        <v>94.382022471910105</v>
      </c>
      <c r="T67" s="8" t="s">
        <v>40</v>
      </c>
      <c r="U67" s="10">
        <f t="shared" ref="U67:U85" si="6">0.8*N67+0.2*(P67+0.9*S67)</f>
        <v>17.388764044943819</v>
      </c>
      <c r="V67" s="8">
        <v>66</v>
      </c>
      <c r="W67" s="12"/>
    </row>
    <row r="68" spans="1:23" ht="14.25" customHeight="1" x14ac:dyDescent="0.25">
      <c r="A68" s="8" t="s">
        <v>41</v>
      </c>
      <c r="B68" s="8"/>
      <c r="C68" s="8">
        <v>11616023</v>
      </c>
      <c r="D68" s="8" t="s">
        <v>215</v>
      </c>
      <c r="E68" s="8" t="s">
        <v>25</v>
      </c>
      <c r="F68" s="8" t="s">
        <v>26</v>
      </c>
      <c r="G68" s="8" t="s">
        <v>27</v>
      </c>
      <c r="H68" s="8"/>
      <c r="I68" s="8"/>
      <c r="J68" s="8" t="s">
        <v>28</v>
      </c>
      <c r="K68" s="9"/>
      <c r="L68" s="8"/>
      <c r="M68" s="8">
        <v>0</v>
      </c>
      <c r="N68" s="10">
        <f t="shared" si="5"/>
        <v>0</v>
      </c>
      <c r="O68" s="9" t="s">
        <v>216</v>
      </c>
      <c r="P68" s="8">
        <v>2</v>
      </c>
      <c r="Q68" s="9" t="s">
        <v>217</v>
      </c>
      <c r="R68" s="8">
        <v>84</v>
      </c>
      <c r="S68" s="11">
        <f>R68/89*100</f>
        <v>94.382022471910105</v>
      </c>
      <c r="T68" s="8" t="s">
        <v>40</v>
      </c>
      <c r="U68" s="10">
        <f t="shared" si="6"/>
        <v>17.388764044943819</v>
      </c>
      <c r="V68" s="8">
        <v>66</v>
      </c>
      <c r="W68" s="12"/>
    </row>
    <row r="69" spans="1:23" ht="14.25" customHeight="1" x14ac:dyDescent="0.25">
      <c r="A69" s="8" t="s">
        <v>76</v>
      </c>
      <c r="B69" s="8"/>
      <c r="C69" s="8">
        <v>11516077</v>
      </c>
      <c r="D69" s="8" t="s">
        <v>218</v>
      </c>
      <c r="E69" s="8" t="s">
        <v>25</v>
      </c>
      <c r="F69" s="8" t="s">
        <v>26</v>
      </c>
      <c r="G69" s="8" t="s">
        <v>27</v>
      </c>
      <c r="H69" s="8"/>
      <c r="I69" s="8"/>
      <c r="J69" s="8" t="s">
        <v>34</v>
      </c>
      <c r="K69" s="9"/>
      <c r="L69" s="8"/>
      <c r="M69" s="8">
        <v>0</v>
      </c>
      <c r="N69" s="10">
        <f t="shared" si="5"/>
        <v>0</v>
      </c>
      <c r="O69" s="9"/>
      <c r="P69" s="8"/>
      <c r="Q69" s="9" t="s">
        <v>219</v>
      </c>
      <c r="R69" s="8">
        <v>86</v>
      </c>
      <c r="S69" s="15">
        <f t="shared" ref="S69:S79" si="7">R69/90*100</f>
        <v>95.555555555555557</v>
      </c>
      <c r="T69" s="8"/>
      <c r="U69" s="10">
        <f t="shared" si="6"/>
        <v>17.2</v>
      </c>
      <c r="V69" s="8">
        <v>68</v>
      </c>
      <c r="W69" s="12"/>
    </row>
    <row r="70" spans="1:23" ht="14.25" customHeight="1" x14ac:dyDescent="0.25">
      <c r="A70" s="8" t="s">
        <v>76</v>
      </c>
      <c r="B70" s="8"/>
      <c r="C70" s="8">
        <v>11616074</v>
      </c>
      <c r="D70" s="8" t="s">
        <v>220</v>
      </c>
      <c r="E70" s="8" t="s">
        <v>25</v>
      </c>
      <c r="F70" s="8" t="s">
        <v>26</v>
      </c>
      <c r="G70" s="8" t="s">
        <v>27</v>
      </c>
      <c r="H70" s="8"/>
      <c r="I70" s="8"/>
      <c r="J70" s="8" t="s">
        <v>34</v>
      </c>
      <c r="K70" s="9"/>
      <c r="L70" s="8"/>
      <c r="M70" s="8">
        <v>0</v>
      </c>
      <c r="N70" s="10">
        <f t="shared" si="5"/>
        <v>0</v>
      </c>
      <c r="O70" s="9"/>
      <c r="P70" s="8"/>
      <c r="Q70" s="9" t="s">
        <v>221</v>
      </c>
      <c r="R70" s="8">
        <v>86</v>
      </c>
      <c r="S70" s="15">
        <f t="shared" si="7"/>
        <v>95.555555555555557</v>
      </c>
      <c r="T70" s="8"/>
      <c r="U70" s="10">
        <f t="shared" si="6"/>
        <v>17.2</v>
      </c>
      <c r="V70" s="8">
        <v>68</v>
      </c>
      <c r="W70" s="12"/>
    </row>
    <row r="71" spans="1:23" ht="14.25" customHeight="1" x14ac:dyDescent="0.25">
      <c r="A71" s="8" t="s">
        <v>76</v>
      </c>
      <c r="B71" s="8"/>
      <c r="C71" s="8">
        <v>11616078</v>
      </c>
      <c r="D71" s="8" t="s">
        <v>222</v>
      </c>
      <c r="E71" s="8" t="s">
        <v>25</v>
      </c>
      <c r="F71" s="8" t="s">
        <v>26</v>
      </c>
      <c r="G71" s="8" t="s">
        <v>27</v>
      </c>
      <c r="H71" s="8"/>
      <c r="I71" s="8"/>
      <c r="J71" s="8" t="s">
        <v>34</v>
      </c>
      <c r="K71" s="9"/>
      <c r="L71" s="8"/>
      <c r="M71" s="8">
        <v>0</v>
      </c>
      <c r="N71" s="10">
        <f t="shared" si="5"/>
        <v>0</v>
      </c>
      <c r="O71" s="9"/>
      <c r="P71" s="8"/>
      <c r="Q71" s="9" t="s">
        <v>223</v>
      </c>
      <c r="R71" s="8">
        <v>86</v>
      </c>
      <c r="S71" s="15">
        <f t="shared" si="7"/>
        <v>95.555555555555557</v>
      </c>
      <c r="T71" s="8"/>
      <c r="U71" s="10">
        <f t="shared" si="6"/>
        <v>17.2</v>
      </c>
      <c r="V71" s="8">
        <v>68</v>
      </c>
      <c r="W71" s="12"/>
    </row>
    <row r="72" spans="1:23" ht="14.25" customHeight="1" x14ac:dyDescent="0.25">
      <c r="A72" s="8" t="s">
        <v>76</v>
      </c>
      <c r="B72" s="8"/>
      <c r="C72" s="8">
        <v>11616079</v>
      </c>
      <c r="D72" s="8" t="s">
        <v>224</v>
      </c>
      <c r="E72" s="8" t="s">
        <v>25</v>
      </c>
      <c r="F72" s="8" t="s">
        <v>26</v>
      </c>
      <c r="G72" s="8" t="s">
        <v>27</v>
      </c>
      <c r="H72" s="8"/>
      <c r="I72" s="8"/>
      <c r="J72" s="8" t="s">
        <v>28</v>
      </c>
      <c r="K72" s="9"/>
      <c r="L72" s="8"/>
      <c r="M72" s="8">
        <v>0</v>
      </c>
      <c r="N72" s="10">
        <f t="shared" si="5"/>
        <v>0</v>
      </c>
      <c r="O72" s="9"/>
      <c r="P72" s="8"/>
      <c r="Q72" s="9" t="s">
        <v>225</v>
      </c>
      <c r="R72" s="8">
        <v>86</v>
      </c>
      <c r="S72" s="15">
        <f t="shared" si="7"/>
        <v>95.555555555555557</v>
      </c>
      <c r="T72" s="8"/>
      <c r="U72" s="10">
        <f t="shared" si="6"/>
        <v>17.2</v>
      </c>
      <c r="V72" s="8">
        <v>68</v>
      </c>
      <c r="W72" s="12"/>
    </row>
    <row r="73" spans="1:23" ht="14.25" customHeight="1" x14ac:dyDescent="0.25">
      <c r="A73" s="8" t="s">
        <v>76</v>
      </c>
      <c r="B73" s="8"/>
      <c r="C73" s="8">
        <v>11416074</v>
      </c>
      <c r="D73" s="8" t="s">
        <v>226</v>
      </c>
      <c r="E73" s="8" t="s">
        <v>25</v>
      </c>
      <c r="F73" s="8" t="s">
        <v>26</v>
      </c>
      <c r="G73" s="8" t="s">
        <v>27</v>
      </c>
      <c r="H73" s="8"/>
      <c r="I73" s="8"/>
      <c r="J73" s="8" t="s">
        <v>28</v>
      </c>
      <c r="K73" s="9"/>
      <c r="L73" s="8"/>
      <c r="M73" s="8">
        <v>0</v>
      </c>
      <c r="N73" s="10">
        <f t="shared" si="5"/>
        <v>0</v>
      </c>
      <c r="O73" s="9"/>
      <c r="P73" s="8"/>
      <c r="Q73" s="9" t="s">
        <v>227</v>
      </c>
      <c r="R73" s="8">
        <v>85</v>
      </c>
      <c r="S73" s="15">
        <f t="shared" si="7"/>
        <v>94.444444444444443</v>
      </c>
      <c r="T73" s="8"/>
      <c r="U73" s="10">
        <f t="shared" si="6"/>
        <v>17</v>
      </c>
      <c r="V73" s="8">
        <v>72</v>
      </c>
      <c r="W73" s="12"/>
    </row>
    <row r="74" spans="1:23" ht="14.25" customHeight="1" x14ac:dyDescent="0.25">
      <c r="A74" s="8" t="s">
        <v>76</v>
      </c>
      <c r="B74" s="8"/>
      <c r="C74" s="8">
        <v>11416077</v>
      </c>
      <c r="D74" s="8" t="s">
        <v>228</v>
      </c>
      <c r="E74" s="8" t="s">
        <v>25</v>
      </c>
      <c r="F74" s="8" t="s">
        <v>26</v>
      </c>
      <c r="G74" s="8" t="s">
        <v>27</v>
      </c>
      <c r="H74" s="8"/>
      <c r="I74" s="8"/>
      <c r="J74" s="8" t="s">
        <v>28</v>
      </c>
      <c r="K74" s="9"/>
      <c r="L74" s="8"/>
      <c r="M74" s="8">
        <v>0</v>
      </c>
      <c r="N74" s="10">
        <f t="shared" si="5"/>
        <v>0</v>
      </c>
      <c r="O74" s="9"/>
      <c r="P74" s="8"/>
      <c r="Q74" s="9" t="s">
        <v>229</v>
      </c>
      <c r="R74" s="8">
        <v>85</v>
      </c>
      <c r="S74" s="15">
        <f t="shared" si="7"/>
        <v>94.444444444444443</v>
      </c>
      <c r="T74" s="8"/>
      <c r="U74" s="10">
        <f t="shared" si="6"/>
        <v>17</v>
      </c>
      <c r="V74" s="8">
        <v>72</v>
      </c>
      <c r="W74" s="12"/>
    </row>
    <row r="75" spans="1:23" ht="14.25" customHeight="1" x14ac:dyDescent="0.25">
      <c r="A75" s="8" t="s">
        <v>76</v>
      </c>
      <c r="B75" s="8"/>
      <c r="C75" s="8">
        <v>11616075</v>
      </c>
      <c r="D75" s="8" t="s">
        <v>230</v>
      </c>
      <c r="E75" s="8" t="s">
        <v>25</v>
      </c>
      <c r="F75" s="8" t="s">
        <v>26</v>
      </c>
      <c r="G75" s="8" t="s">
        <v>27</v>
      </c>
      <c r="H75" s="8"/>
      <c r="I75" s="8"/>
      <c r="J75" s="8" t="s">
        <v>34</v>
      </c>
      <c r="K75" s="9"/>
      <c r="L75" s="8"/>
      <c r="M75" s="8">
        <v>0</v>
      </c>
      <c r="N75" s="10">
        <f t="shared" si="5"/>
        <v>0</v>
      </c>
      <c r="O75" s="9"/>
      <c r="P75" s="8"/>
      <c r="Q75" s="9" t="s">
        <v>231</v>
      </c>
      <c r="R75" s="8">
        <v>85</v>
      </c>
      <c r="S75" s="15">
        <f t="shared" si="7"/>
        <v>94.444444444444443</v>
      </c>
      <c r="T75" s="8"/>
      <c r="U75" s="10">
        <f t="shared" si="6"/>
        <v>17</v>
      </c>
      <c r="V75" s="8">
        <v>72</v>
      </c>
      <c r="W75" s="12"/>
    </row>
    <row r="76" spans="1:23" ht="14.25" customHeight="1" x14ac:dyDescent="0.25">
      <c r="A76" s="8" t="s">
        <v>81</v>
      </c>
      <c r="B76" s="8"/>
      <c r="C76" s="8">
        <v>11716046</v>
      </c>
      <c r="D76" s="8" t="s">
        <v>232</v>
      </c>
      <c r="E76" s="8" t="s">
        <v>25</v>
      </c>
      <c r="F76" s="8" t="s">
        <v>26</v>
      </c>
      <c r="G76" s="8" t="s">
        <v>27</v>
      </c>
      <c r="H76" s="8"/>
      <c r="I76" s="8"/>
      <c r="J76" s="8" t="s">
        <v>28</v>
      </c>
      <c r="K76" s="9"/>
      <c r="L76" s="8"/>
      <c r="M76" s="8">
        <v>0</v>
      </c>
      <c r="N76" s="10">
        <f t="shared" si="5"/>
        <v>0</v>
      </c>
      <c r="O76" s="9" t="s">
        <v>233</v>
      </c>
      <c r="P76" s="8"/>
      <c r="Q76" s="9" t="s">
        <v>234</v>
      </c>
      <c r="R76" s="16" t="s">
        <v>235</v>
      </c>
      <c r="S76" s="15">
        <f t="shared" si="7"/>
        <v>94.444444444444443</v>
      </c>
      <c r="T76" s="8" t="s">
        <v>40</v>
      </c>
      <c r="U76" s="10">
        <f t="shared" si="6"/>
        <v>17</v>
      </c>
      <c r="V76" s="8">
        <v>72</v>
      </c>
      <c r="W76" s="12"/>
    </row>
    <row r="77" spans="1:23" ht="14.25" customHeight="1" x14ac:dyDescent="0.25">
      <c r="A77" s="8" t="s">
        <v>67</v>
      </c>
      <c r="B77" s="8"/>
      <c r="C77" s="8">
        <v>11516029</v>
      </c>
      <c r="D77" s="8" t="s">
        <v>236</v>
      </c>
      <c r="E77" s="8" t="s">
        <v>25</v>
      </c>
      <c r="F77" s="8" t="s">
        <v>26</v>
      </c>
      <c r="G77" s="8" t="s">
        <v>27</v>
      </c>
      <c r="H77" s="8"/>
      <c r="I77" s="8"/>
      <c r="J77" s="8" t="s">
        <v>34</v>
      </c>
      <c r="K77" s="9"/>
      <c r="L77" s="8"/>
      <c r="M77" s="8">
        <v>0</v>
      </c>
      <c r="N77" s="10">
        <f t="shared" si="5"/>
        <v>0</v>
      </c>
      <c r="O77" s="9" t="s">
        <v>237</v>
      </c>
      <c r="P77" s="8"/>
      <c r="Q77" s="9" t="s">
        <v>238</v>
      </c>
      <c r="R77" s="8">
        <v>85</v>
      </c>
      <c r="S77" s="15">
        <f t="shared" si="7"/>
        <v>94.444444444444443</v>
      </c>
      <c r="T77" s="8" t="s">
        <v>40</v>
      </c>
      <c r="U77" s="10">
        <f t="shared" si="6"/>
        <v>17</v>
      </c>
      <c r="V77" s="8">
        <v>72</v>
      </c>
      <c r="W77" s="12"/>
    </row>
    <row r="78" spans="1:23" ht="14.25" customHeight="1" x14ac:dyDescent="0.25">
      <c r="A78" s="8" t="s">
        <v>67</v>
      </c>
      <c r="B78" s="8"/>
      <c r="C78" s="8">
        <v>11516028</v>
      </c>
      <c r="D78" s="8" t="s">
        <v>239</v>
      </c>
      <c r="E78" s="8" t="s">
        <v>25</v>
      </c>
      <c r="F78" s="8" t="s">
        <v>240</v>
      </c>
      <c r="G78" s="8" t="s">
        <v>27</v>
      </c>
      <c r="H78" s="8"/>
      <c r="I78" s="8"/>
      <c r="J78" s="8" t="s">
        <v>28</v>
      </c>
      <c r="K78" s="9"/>
      <c r="L78" s="8"/>
      <c r="M78" s="8">
        <v>0</v>
      </c>
      <c r="N78" s="10">
        <f t="shared" si="5"/>
        <v>0</v>
      </c>
      <c r="O78" s="9"/>
      <c r="P78" s="8"/>
      <c r="Q78" s="9" t="s">
        <v>241</v>
      </c>
      <c r="R78" s="8">
        <v>85</v>
      </c>
      <c r="S78" s="15">
        <f t="shared" si="7"/>
        <v>94.444444444444443</v>
      </c>
      <c r="T78" s="8" t="s">
        <v>40</v>
      </c>
      <c r="U78" s="10">
        <f t="shared" si="6"/>
        <v>17</v>
      </c>
      <c r="V78" s="8">
        <v>72</v>
      </c>
      <c r="W78" s="12"/>
    </row>
    <row r="79" spans="1:23" ht="14.25" customHeight="1" x14ac:dyDescent="0.25">
      <c r="A79" s="8" t="s">
        <v>67</v>
      </c>
      <c r="B79" s="8"/>
      <c r="C79" s="17">
        <v>11816006</v>
      </c>
      <c r="D79" s="8" t="s">
        <v>242</v>
      </c>
      <c r="E79" s="8" t="s">
        <v>25</v>
      </c>
      <c r="F79" s="8" t="s">
        <v>26</v>
      </c>
      <c r="G79" s="8" t="s">
        <v>27</v>
      </c>
      <c r="H79" s="8"/>
      <c r="I79" s="8"/>
      <c r="J79" s="8" t="s">
        <v>34</v>
      </c>
      <c r="K79" s="9"/>
      <c r="L79" s="8"/>
      <c r="M79" s="8">
        <v>0</v>
      </c>
      <c r="N79" s="10">
        <f t="shared" si="5"/>
        <v>0</v>
      </c>
      <c r="O79" s="9"/>
      <c r="P79" s="8"/>
      <c r="Q79" s="9" t="s">
        <v>243</v>
      </c>
      <c r="R79" s="8">
        <v>85</v>
      </c>
      <c r="S79" s="15">
        <f t="shared" si="7"/>
        <v>94.444444444444443</v>
      </c>
      <c r="T79" s="8" t="s">
        <v>40</v>
      </c>
      <c r="U79" s="10">
        <f t="shared" si="6"/>
        <v>17</v>
      </c>
      <c r="V79" s="8">
        <v>72</v>
      </c>
      <c r="W79" s="12"/>
    </row>
    <row r="80" spans="1:23" ht="14.25" customHeight="1" x14ac:dyDescent="0.25">
      <c r="A80" s="8" t="s">
        <v>32</v>
      </c>
      <c r="B80" s="8"/>
      <c r="C80" s="8">
        <v>11616062</v>
      </c>
      <c r="D80" s="8" t="s">
        <v>244</v>
      </c>
      <c r="E80" s="8" t="s">
        <v>25</v>
      </c>
      <c r="F80" s="8" t="s">
        <v>26</v>
      </c>
      <c r="G80" s="8" t="s">
        <v>27</v>
      </c>
      <c r="H80" s="8"/>
      <c r="I80" s="8"/>
      <c r="J80" s="8" t="s">
        <v>34</v>
      </c>
      <c r="K80" s="19"/>
      <c r="L80" s="8"/>
      <c r="M80" s="8">
        <v>0</v>
      </c>
      <c r="N80" s="10">
        <f t="shared" si="5"/>
        <v>0</v>
      </c>
      <c r="O80" s="9" t="s">
        <v>245</v>
      </c>
      <c r="P80" s="8">
        <v>0</v>
      </c>
      <c r="Q80" s="9" t="s">
        <v>246</v>
      </c>
      <c r="R80" s="8">
        <v>84</v>
      </c>
      <c r="S80" s="10">
        <f>R80/89*100</f>
        <v>94.382022471910105</v>
      </c>
      <c r="T80" s="8"/>
      <c r="U80" s="10">
        <f t="shared" si="6"/>
        <v>16.988764044943817</v>
      </c>
      <c r="V80" s="8">
        <v>79</v>
      </c>
      <c r="W80" s="12"/>
    </row>
    <row r="81" spans="1:23" ht="14.25" customHeight="1" x14ac:dyDescent="0.25">
      <c r="A81" s="8" t="s">
        <v>32</v>
      </c>
      <c r="B81" s="8"/>
      <c r="C81" s="8">
        <v>11816015</v>
      </c>
      <c r="D81" s="8" t="s">
        <v>247</v>
      </c>
      <c r="E81" s="8" t="s">
        <v>25</v>
      </c>
      <c r="F81" s="8" t="s">
        <v>26</v>
      </c>
      <c r="G81" s="8" t="s">
        <v>27</v>
      </c>
      <c r="H81" s="8"/>
      <c r="I81" s="8"/>
      <c r="J81" s="8" t="s">
        <v>34</v>
      </c>
      <c r="K81" s="9"/>
      <c r="L81" s="8"/>
      <c r="M81" s="8">
        <v>0</v>
      </c>
      <c r="N81" s="10">
        <f t="shared" si="5"/>
        <v>0</v>
      </c>
      <c r="O81" s="9"/>
      <c r="P81" s="8">
        <v>0</v>
      </c>
      <c r="Q81" s="9"/>
      <c r="R81" s="8">
        <v>84</v>
      </c>
      <c r="S81" s="10">
        <f>R81/89*100</f>
        <v>94.382022471910105</v>
      </c>
      <c r="T81" s="8"/>
      <c r="U81" s="10">
        <f t="shared" si="6"/>
        <v>16.988764044943817</v>
      </c>
      <c r="V81" s="8">
        <v>79</v>
      </c>
      <c r="W81" s="12"/>
    </row>
    <row r="82" spans="1:23" ht="14.25" customHeight="1" x14ac:dyDescent="0.25">
      <c r="A82" s="8" t="s">
        <v>41</v>
      </c>
      <c r="B82" s="8"/>
      <c r="C82" s="8">
        <v>11716003</v>
      </c>
      <c r="D82" s="8" t="s">
        <v>248</v>
      </c>
      <c r="E82" s="8" t="s">
        <v>25</v>
      </c>
      <c r="F82" s="8" t="s">
        <v>26</v>
      </c>
      <c r="G82" s="8" t="s">
        <v>27</v>
      </c>
      <c r="H82" s="8"/>
      <c r="I82" s="8"/>
      <c r="J82" s="8" t="s">
        <v>34</v>
      </c>
      <c r="K82" s="9"/>
      <c r="L82" s="8"/>
      <c r="M82" s="8">
        <v>0</v>
      </c>
      <c r="N82" s="10">
        <f t="shared" si="5"/>
        <v>0</v>
      </c>
      <c r="O82" s="9"/>
      <c r="P82" s="8"/>
      <c r="Q82" s="9" t="s">
        <v>249</v>
      </c>
      <c r="R82" s="8">
        <v>84</v>
      </c>
      <c r="S82" s="11">
        <f>R82/89*100</f>
        <v>94.382022471910105</v>
      </c>
      <c r="T82" s="8" t="s">
        <v>40</v>
      </c>
      <c r="U82" s="10">
        <f t="shared" si="6"/>
        <v>16.988764044943817</v>
      </c>
      <c r="V82" s="8">
        <v>79</v>
      </c>
      <c r="W82" s="12"/>
    </row>
    <row r="83" spans="1:23" ht="14.25" customHeight="1" x14ac:dyDescent="0.25">
      <c r="A83" s="8" t="s">
        <v>41</v>
      </c>
      <c r="B83" s="8"/>
      <c r="C83" s="8">
        <v>11416025</v>
      </c>
      <c r="D83" s="8" t="s">
        <v>252</v>
      </c>
      <c r="E83" s="8" t="s">
        <v>25</v>
      </c>
      <c r="F83" s="8" t="s">
        <v>26</v>
      </c>
      <c r="G83" s="8" t="s">
        <v>27</v>
      </c>
      <c r="H83" s="8"/>
      <c r="I83" s="8"/>
      <c r="J83" s="8" t="s">
        <v>28</v>
      </c>
      <c r="K83" s="9"/>
      <c r="L83" s="8"/>
      <c r="M83" s="8">
        <v>0</v>
      </c>
      <c r="N83" s="10">
        <f t="shared" si="5"/>
        <v>0</v>
      </c>
      <c r="O83" s="9"/>
      <c r="P83" s="8"/>
      <c r="Q83" s="9" t="s">
        <v>253</v>
      </c>
      <c r="R83" s="8">
        <v>83</v>
      </c>
      <c r="S83" s="11">
        <f>R83/89*100</f>
        <v>93.258426966292134</v>
      </c>
      <c r="T83" s="8" t="s">
        <v>40</v>
      </c>
      <c r="U83" s="10">
        <f t="shared" si="6"/>
        <v>16.786516853932586</v>
      </c>
      <c r="V83" s="8">
        <v>82</v>
      </c>
      <c r="W83" s="12"/>
    </row>
    <row r="84" spans="1:23" ht="14.25" customHeight="1" x14ac:dyDescent="0.25">
      <c r="A84" s="8" t="s">
        <v>41</v>
      </c>
      <c r="B84" s="8"/>
      <c r="C84" s="8">
        <v>11816001</v>
      </c>
      <c r="D84" s="8" t="s">
        <v>254</v>
      </c>
      <c r="E84" s="8" t="s">
        <v>25</v>
      </c>
      <c r="F84" s="8" t="s">
        <v>26</v>
      </c>
      <c r="G84" s="8" t="s">
        <v>27</v>
      </c>
      <c r="H84" s="8"/>
      <c r="I84" s="8"/>
      <c r="J84" s="8" t="s">
        <v>34</v>
      </c>
      <c r="K84" s="9"/>
      <c r="L84" s="8"/>
      <c r="M84" s="8">
        <v>0</v>
      </c>
      <c r="N84" s="10">
        <f t="shared" si="5"/>
        <v>0</v>
      </c>
      <c r="O84" s="9"/>
      <c r="P84" s="8"/>
      <c r="Q84" s="9" t="s">
        <v>255</v>
      </c>
      <c r="R84" s="8">
        <v>83</v>
      </c>
      <c r="S84" s="11">
        <f>R84/89*100</f>
        <v>93.258426966292134</v>
      </c>
      <c r="T84" s="8" t="s">
        <v>40</v>
      </c>
      <c r="U84" s="10">
        <f t="shared" si="6"/>
        <v>16.786516853932586</v>
      </c>
      <c r="V84" s="8">
        <v>82</v>
      </c>
      <c r="W84" s="12"/>
    </row>
    <row r="85" spans="1:23" ht="14.25" customHeight="1" x14ac:dyDescent="0.25">
      <c r="A85" s="8" t="s">
        <v>76</v>
      </c>
      <c r="B85" s="8"/>
      <c r="C85" s="8">
        <v>11516076</v>
      </c>
      <c r="D85" s="8" t="s">
        <v>256</v>
      </c>
      <c r="E85" s="8" t="s">
        <v>25</v>
      </c>
      <c r="F85" s="8" t="s">
        <v>26</v>
      </c>
      <c r="G85" s="8" t="s">
        <v>27</v>
      </c>
      <c r="H85" s="8"/>
      <c r="I85" s="8"/>
      <c r="J85" s="8" t="s">
        <v>34</v>
      </c>
      <c r="K85" s="9"/>
      <c r="L85" s="8"/>
      <c r="M85" s="8">
        <v>0</v>
      </c>
      <c r="N85" s="10">
        <f t="shared" si="5"/>
        <v>0</v>
      </c>
      <c r="O85" s="9"/>
      <c r="P85" s="8"/>
      <c r="Q85" s="9"/>
      <c r="R85" s="8">
        <v>83</v>
      </c>
      <c r="S85" s="15">
        <f>R85/90*100</f>
        <v>92.222222222222229</v>
      </c>
      <c r="T85" s="8"/>
      <c r="U85" s="10">
        <f t="shared" si="6"/>
        <v>16.600000000000005</v>
      </c>
      <c r="V85" s="8">
        <v>84</v>
      </c>
      <c r="W85" s="12"/>
    </row>
    <row r="86" spans="1:23" ht="14.25" customHeight="1" x14ac:dyDescent="0.25">
      <c r="A86" s="22" t="s">
        <v>22</v>
      </c>
      <c r="B86" s="73" t="s">
        <v>56</v>
      </c>
      <c r="C86" s="22">
        <v>11716090</v>
      </c>
      <c r="D86" s="22" t="s">
        <v>257</v>
      </c>
      <c r="E86" s="22" t="s">
        <v>258</v>
      </c>
      <c r="F86" s="22" t="s">
        <v>26</v>
      </c>
      <c r="G86" s="22" t="s">
        <v>27</v>
      </c>
      <c r="H86" s="22">
        <v>86</v>
      </c>
      <c r="I86" s="22">
        <f>H86/89.4*100</f>
        <v>96.196868008948542</v>
      </c>
      <c r="J86" s="22" t="s">
        <v>34</v>
      </c>
      <c r="K86" s="23" t="s">
        <v>259</v>
      </c>
      <c r="L86" s="22"/>
      <c r="M86" s="22">
        <f>4.143*7</f>
        <v>29.000999999999998</v>
      </c>
      <c r="N86" s="24">
        <f t="shared" ref="N86:N121" si="8">M86/29.001*100</f>
        <v>99.999999999999986</v>
      </c>
      <c r="O86" s="23"/>
      <c r="P86" s="22">
        <v>0</v>
      </c>
      <c r="Q86" s="23" t="s">
        <v>260</v>
      </c>
      <c r="R86" s="22">
        <v>85</v>
      </c>
      <c r="S86" s="25">
        <f>R86/90*100</f>
        <v>94.444444444444443</v>
      </c>
      <c r="T86" s="22" t="s">
        <v>40</v>
      </c>
      <c r="U86" s="24">
        <f t="shared" ref="U86:U121" si="9">0.7*I86+0.15*N86+0.15*(P86+0.9*S86)</f>
        <v>95.087807606263979</v>
      </c>
      <c r="V86" s="22">
        <v>1</v>
      </c>
      <c r="W86" s="12"/>
    </row>
    <row r="87" spans="1:23" ht="14.25" customHeight="1" x14ac:dyDescent="0.25">
      <c r="A87" s="22" t="s">
        <v>76</v>
      </c>
      <c r="B87" s="22"/>
      <c r="C87" s="22">
        <v>11716026</v>
      </c>
      <c r="D87" s="22" t="s">
        <v>261</v>
      </c>
      <c r="E87" s="22" t="s">
        <v>258</v>
      </c>
      <c r="F87" s="22" t="s">
        <v>26</v>
      </c>
      <c r="G87" s="22" t="s">
        <v>27</v>
      </c>
      <c r="H87" s="22">
        <v>87.52</v>
      </c>
      <c r="I87" s="22">
        <f>H87/89*100</f>
        <v>98.337078651685388</v>
      </c>
      <c r="J87" s="22" t="s">
        <v>34</v>
      </c>
      <c r="K87" s="26" t="s">
        <v>1003</v>
      </c>
      <c r="L87" s="22"/>
      <c r="M87" s="22">
        <f>4.257*4</f>
        <v>17.027999999999999</v>
      </c>
      <c r="N87" s="24">
        <f t="shared" si="8"/>
        <v>58.715216716664933</v>
      </c>
      <c r="O87" s="23"/>
      <c r="P87" s="22"/>
      <c r="Q87" s="23" t="s">
        <v>262</v>
      </c>
      <c r="R87" s="22">
        <v>86</v>
      </c>
      <c r="S87" s="27">
        <f>R87/90*100</f>
        <v>95.555555555555557</v>
      </c>
      <c r="T87" s="22" t="s">
        <v>31</v>
      </c>
      <c r="U87" s="24">
        <f t="shared" si="9"/>
        <v>90.543237563679511</v>
      </c>
      <c r="V87" s="22">
        <v>2</v>
      </c>
      <c r="W87" s="12"/>
    </row>
    <row r="88" spans="1:23" ht="14.25" customHeight="1" x14ac:dyDescent="0.25">
      <c r="A88" s="22" t="s">
        <v>73</v>
      </c>
      <c r="B88" s="22"/>
      <c r="C88" s="22">
        <v>11716053</v>
      </c>
      <c r="D88" s="22" t="s">
        <v>263</v>
      </c>
      <c r="E88" s="22" t="s">
        <v>258</v>
      </c>
      <c r="F88" s="22" t="s">
        <v>26</v>
      </c>
      <c r="G88" s="22" t="s">
        <v>27</v>
      </c>
      <c r="H88" s="22">
        <v>87.667000000000002</v>
      </c>
      <c r="I88" s="22">
        <f>H88/91.47*100</f>
        <v>95.842352683940092</v>
      </c>
      <c r="J88" s="22" t="s">
        <v>34</v>
      </c>
      <c r="K88" s="23" t="s">
        <v>264</v>
      </c>
      <c r="L88" s="22"/>
      <c r="M88" s="22">
        <f>3.268*4</f>
        <v>13.071999999999999</v>
      </c>
      <c r="N88" s="24">
        <f t="shared" si="8"/>
        <v>45.074307782490251</v>
      </c>
      <c r="O88" s="23" t="s">
        <v>265</v>
      </c>
      <c r="P88" s="22">
        <v>7</v>
      </c>
      <c r="Q88" s="23" t="s">
        <v>266</v>
      </c>
      <c r="R88" s="22">
        <v>88</v>
      </c>
      <c r="S88" s="25">
        <f>(R88/90)*100</f>
        <v>97.777777777777771</v>
      </c>
      <c r="T88" s="22" t="s">
        <v>40</v>
      </c>
      <c r="U88" s="24">
        <f t="shared" si="9"/>
        <v>88.100793046131599</v>
      </c>
      <c r="V88" s="22">
        <v>3</v>
      </c>
      <c r="W88" s="12"/>
    </row>
    <row r="89" spans="1:23" ht="14.25" customHeight="1" x14ac:dyDescent="0.25">
      <c r="A89" s="22" t="s">
        <v>59</v>
      </c>
      <c r="B89" s="22"/>
      <c r="C89" s="22">
        <v>11716057</v>
      </c>
      <c r="D89" s="22" t="s">
        <v>267</v>
      </c>
      <c r="E89" s="22" t="s">
        <v>258</v>
      </c>
      <c r="F89" s="22" t="s">
        <v>26</v>
      </c>
      <c r="G89" s="22" t="s">
        <v>27</v>
      </c>
      <c r="H89" s="22">
        <v>89</v>
      </c>
      <c r="I89" s="22">
        <f>H89/89*100</f>
        <v>100</v>
      </c>
      <c r="J89" s="22" t="s">
        <v>34</v>
      </c>
      <c r="K89" s="23"/>
      <c r="L89" s="22"/>
      <c r="M89" s="22">
        <v>0</v>
      </c>
      <c r="N89" s="24">
        <f t="shared" si="8"/>
        <v>0</v>
      </c>
      <c r="O89" s="23" t="s">
        <v>268</v>
      </c>
      <c r="P89" s="22">
        <v>8</v>
      </c>
      <c r="Q89" s="23" t="s">
        <v>269</v>
      </c>
      <c r="R89" s="22">
        <v>90</v>
      </c>
      <c r="S89" s="25">
        <f>R89/90*100</f>
        <v>100</v>
      </c>
      <c r="T89" s="22" t="s">
        <v>270</v>
      </c>
      <c r="U89" s="24">
        <f t="shared" si="9"/>
        <v>84.7</v>
      </c>
      <c r="V89" s="22">
        <v>4</v>
      </c>
      <c r="W89" s="12"/>
    </row>
    <row r="90" spans="1:23" ht="14.25" customHeight="1" x14ac:dyDescent="0.25">
      <c r="A90" s="22" t="s">
        <v>22</v>
      </c>
      <c r="B90" s="22"/>
      <c r="C90" s="22">
        <v>11716088</v>
      </c>
      <c r="D90" s="22" t="s">
        <v>271</v>
      </c>
      <c r="E90" s="22" t="s">
        <v>258</v>
      </c>
      <c r="F90" s="22" t="s">
        <v>26</v>
      </c>
      <c r="G90" s="22" t="s">
        <v>27</v>
      </c>
      <c r="H90" s="22">
        <v>89.4</v>
      </c>
      <c r="I90" s="22">
        <f>H90/89.4*100</f>
        <v>100</v>
      </c>
      <c r="J90" s="22" t="s">
        <v>34</v>
      </c>
      <c r="K90" s="23"/>
      <c r="L90" s="22"/>
      <c r="M90" s="22">
        <v>0</v>
      </c>
      <c r="N90" s="24">
        <f t="shared" si="8"/>
        <v>0</v>
      </c>
      <c r="O90" s="23" t="s">
        <v>172</v>
      </c>
      <c r="P90" s="22">
        <v>6</v>
      </c>
      <c r="Q90" s="23" t="s">
        <v>272</v>
      </c>
      <c r="R90" s="22">
        <v>90</v>
      </c>
      <c r="S90" s="25">
        <f>R90/90*100</f>
        <v>100</v>
      </c>
      <c r="T90" s="22" t="s">
        <v>270</v>
      </c>
      <c r="U90" s="24">
        <f t="shared" si="9"/>
        <v>84.4</v>
      </c>
      <c r="V90" s="22">
        <v>5</v>
      </c>
      <c r="W90" s="12"/>
    </row>
    <row r="91" spans="1:23" ht="14.25" customHeight="1" x14ac:dyDescent="0.25">
      <c r="A91" s="22" t="s">
        <v>67</v>
      </c>
      <c r="B91" s="22"/>
      <c r="C91" s="22">
        <v>11716028</v>
      </c>
      <c r="D91" s="22" t="s">
        <v>273</v>
      </c>
      <c r="E91" s="22" t="s">
        <v>258</v>
      </c>
      <c r="F91" s="22" t="s">
        <v>26</v>
      </c>
      <c r="G91" s="22" t="s">
        <v>27</v>
      </c>
      <c r="H91" s="22">
        <v>88.68</v>
      </c>
      <c r="I91" s="22">
        <f>H91/89.35*100</f>
        <v>99.25013989927254</v>
      </c>
      <c r="J91" s="22" t="s">
        <v>34</v>
      </c>
      <c r="K91" s="23"/>
      <c r="L91" s="22"/>
      <c r="M91" s="22">
        <v>0</v>
      </c>
      <c r="N91" s="24">
        <f t="shared" si="8"/>
        <v>0</v>
      </c>
      <c r="O91" s="23" t="s">
        <v>274</v>
      </c>
      <c r="P91" s="22">
        <v>8</v>
      </c>
      <c r="Q91" s="23" t="s">
        <v>275</v>
      </c>
      <c r="R91" s="22">
        <v>90</v>
      </c>
      <c r="S91" s="27">
        <f>R91/90*100</f>
        <v>100</v>
      </c>
      <c r="T91" s="22" t="s">
        <v>276</v>
      </c>
      <c r="U91" s="24">
        <f t="shared" si="9"/>
        <v>84.175097929490775</v>
      </c>
      <c r="V91" s="22">
        <v>6</v>
      </c>
      <c r="W91" s="12"/>
    </row>
    <row r="92" spans="1:23" ht="14.25" customHeight="1" x14ac:dyDescent="0.25">
      <c r="A92" s="22" t="s">
        <v>81</v>
      </c>
      <c r="B92" s="22"/>
      <c r="C92" s="22">
        <v>11716045</v>
      </c>
      <c r="D92" s="22" t="s">
        <v>277</v>
      </c>
      <c r="E92" s="22" t="s">
        <v>258</v>
      </c>
      <c r="F92" s="22" t="s">
        <v>26</v>
      </c>
      <c r="G92" s="22" t="s">
        <v>27</v>
      </c>
      <c r="H92" s="22">
        <v>88.53</v>
      </c>
      <c r="I92" s="22">
        <f>H92/88.53*100</f>
        <v>100</v>
      </c>
      <c r="J92" s="22" t="s">
        <v>34</v>
      </c>
      <c r="K92" s="28"/>
      <c r="L92" s="22"/>
      <c r="M92" s="22">
        <v>0</v>
      </c>
      <c r="N92" s="24">
        <f t="shared" si="8"/>
        <v>0</v>
      </c>
      <c r="O92" s="23" t="s">
        <v>278</v>
      </c>
      <c r="P92" s="22">
        <v>4</v>
      </c>
      <c r="Q92" s="23" t="s">
        <v>279</v>
      </c>
      <c r="R92" s="22">
        <v>90</v>
      </c>
      <c r="S92" s="27">
        <f>R92/90*100</f>
        <v>100</v>
      </c>
      <c r="T92" s="22" t="s">
        <v>31</v>
      </c>
      <c r="U92" s="24">
        <f t="shared" si="9"/>
        <v>84.1</v>
      </c>
      <c r="V92" s="22">
        <v>7</v>
      </c>
      <c r="W92" s="12"/>
    </row>
    <row r="93" spans="1:23" ht="14.25" customHeight="1" x14ac:dyDescent="0.25">
      <c r="A93" s="22" t="s">
        <v>73</v>
      </c>
      <c r="B93" s="22"/>
      <c r="C93" s="22">
        <v>11716050</v>
      </c>
      <c r="D93" s="22" t="s">
        <v>280</v>
      </c>
      <c r="E93" s="22" t="s">
        <v>258</v>
      </c>
      <c r="F93" s="22" t="s">
        <v>26</v>
      </c>
      <c r="G93" s="22" t="s">
        <v>27</v>
      </c>
      <c r="H93" s="22">
        <v>91.47</v>
      </c>
      <c r="I93" s="22">
        <f>H93/91.47*100</f>
        <v>100</v>
      </c>
      <c r="J93" s="22" t="s">
        <v>34</v>
      </c>
      <c r="K93" s="23"/>
      <c r="L93" s="22"/>
      <c r="M93" s="22">
        <v>0</v>
      </c>
      <c r="N93" s="24">
        <f t="shared" si="8"/>
        <v>0</v>
      </c>
      <c r="O93" s="23" t="s">
        <v>281</v>
      </c>
      <c r="P93" s="22">
        <v>3</v>
      </c>
      <c r="Q93" s="23"/>
      <c r="R93" s="22">
        <v>90</v>
      </c>
      <c r="S93" s="25">
        <f>(R93/90)*100</f>
        <v>100</v>
      </c>
      <c r="T93" s="22" t="s">
        <v>40</v>
      </c>
      <c r="U93" s="24">
        <f t="shared" si="9"/>
        <v>83.95</v>
      </c>
      <c r="V93" s="22">
        <v>8</v>
      </c>
      <c r="W93" s="12"/>
    </row>
    <row r="94" spans="1:23" ht="14.25" customHeight="1" x14ac:dyDescent="0.25">
      <c r="A94" s="22" t="s">
        <v>67</v>
      </c>
      <c r="B94" s="22"/>
      <c r="C94" s="22">
        <v>11716031</v>
      </c>
      <c r="D94" s="22" t="s">
        <v>282</v>
      </c>
      <c r="E94" s="22" t="s">
        <v>258</v>
      </c>
      <c r="F94" s="22" t="s">
        <v>26</v>
      </c>
      <c r="G94" s="22" t="s">
        <v>27</v>
      </c>
      <c r="H94" s="22">
        <v>88.53</v>
      </c>
      <c r="I94" s="22">
        <f>H94/89.35*100</f>
        <v>99.082260772243984</v>
      </c>
      <c r="J94" s="22" t="s">
        <v>34</v>
      </c>
      <c r="K94" s="23"/>
      <c r="L94" s="22"/>
      <c r="M94" s="22">
        <v>0</v>
      </c>
      <c r="N94" s="24">
        <f t="shared" si="8"/>
        <v>0</v>
      </c>
      <c r="O94" s="23" t="s">
        <v>283</v>
      </c>
      <c r="P94" s="22">
        <v>7</v>
      </c>
      <c r="Q94" s="23"/>
      <c r="R94" s="22">
        <v>90</v>
      </c>
      <c r="S94" s="27">
        <f>R94/90*100</f>
        <v>100</v>
      </c>
      <c r="T94" s="22" t="s">
        <v>161</v>
      </c>
      <c r="U94" s="24">
        <f t="shared" si="9"/>
        <v>83.907582540570786</v>
      </c>
      <c r="V94" s="22">
        <v>9</v>
      </c>
      <c r="W94" s="12"/>
    </row>
    <row r="95" spans="1:23" ht="14.25" customHeight="1" x14ac:dyDescent="0.25">
      <c r="A95" s="22" t="s">
        <v>76</v>
      </c>
      <c r="B95" s="22"/>
      <c r="C95" s="22">
        <v>11716079</v>
      </c>
      <c r="D95" s="22" t="s">
        <v>284</v>
      </c>
      <c r="E95" s="22" t="s">
        <v>258</v>
      </c>
      <c r="F95" s="22" t="s">
        <v>26</v>
      </c>
      <c r="G95" s="22" t="s">
        <v>27</v>
      </c>
      <c r="H95" s="29" t="s">
        <v>285</v>
      </c>
      <c r="I95" s="22">
        <f>H95/89*100</f>
        <v>100</v>
      </c>
      <c r="J95" s="22" t="s">
        <v>34</v>
      </c>
      <c r="K95" s="23"/>
      <c r="L95" s="22"/>
      <c r="M95" s="22">
        <v>0</v>
      </c>
      <c r="N95" s="24">
        <f t="shared" si="8"/>
        <v>0</v>
      </c>
      <c r="O95" s="23" t="s">
        <v>286</v>
      </c>
      <c r="P95" s="22">
        <v>3</v>
      </c>
      <c r="Q95" s="23" t="s">
        <v>287</v>
      </c>
      <c r="R95" s="22">
        <v>88</v>
      </c>
      <c r="S95" s="27">
        <f>R95/90*100</f>
        <v>97.777777777777771</v>
      </c>
      <c r="T95" s="22" t="s">
        <v>40</v>
      </c>
      <c r="U95" s="24">
        <f t="shared" si="9"/>
        <v>83.65</v>
      </c>
      <c r="V95" s="22">
        <v>10</v>
      </c>
      <c r="W95" s="12"/>
    </row>
    <row r="96" spans="1:23" ht="14.25" customHeight="1" x14ac:dyDescent="0.25">
      <c r="A96" s="22" t="s">
        <v>67</v>
      </c>
      <c r="B96" s="22"/>
      <c r="C96" s="22">
        <v>11716027</v>
      </c>
      <c r="D96" s="22" t="s">
        <v>288</v>
      </c>
      <c r="E96" s="22" t="s">
        <v>258</v>
      </c>
      <c r="F96" s="22" t="s">
        <v>26</v>
      </c>
      <c r="G96" s="22" t="s">
        <v>27</v>
      </c>
      <c r="H96" s="22">
        <v>89.35</v>
      </c>
      <c r="I96" s="22">
        <f>H96/89.35*100</f>
        <v>100</v>
      </c>
      <c r="J96" s="22" t="s">
        <v>34</v>
      </c>
      <c r="K96" s="23"/>
      <c r="L96" s="22"/>
      <c r="M96" s="22">
        <v>0</v>
      </c>
      <c r="N96" s="24">
        <f t="shared" si="8"/>
        <v>0</v>
      </c>
      <c r="O96" s="23"/>
      <c r="P96" s="22"/>
      <c r="Q96" s="23"/>
      <c r="R96" s="22">
        <v>90</v>
      </c>
      <c r="S96" s="27">
        <f>R96/90*100</f>
        <v>100</v>
      </c>
      <c r="T96" s="22" t="s">
        <v>40</v>
      </c>
      <c r="U96" s="24">
        <f t="shared" si="9"/>
        <v>83.5</v>
      </c>
      <c r="V96" s="22">
        <v>11</v>
      </c>
      <c r="W96" s="12"/>
    </row>
    <row r="97" spans="1:23" ht="14.25" customHeight="1" x14ac:dyDescent="0.25">
      <c r="A97" s="22" t="s">
        <v>32</v>
      </c>
      <c r="B97" s="22"/>
      <c r="C97" s="22">
        <v>11716066</v>
      </c>
      <c r="D97" s="22" t="s">
        <v>289</v>
      </c>
      <c r="E97" s="22" t="s">
        <v>258</v>
      </c>
      <c r="F97" s="22" t="s">
        <v>26</v>
      </c>
      <c r="G97" s="22" t="s">
        <v>27</v>
      </c>
      <c r="H97" s="22">
        <v>89.05</v>
      </c>
      <c r="I97" s="22">
        <f>H97/89.05*100</f>
        <v>100</v>
      </c>
      <c r="J97" s="22" t="s">
        <v>34</v>
      </c>
      <c r="K97" s="23"/>
      <c r="L97" s="22"/>
      <c r="M97" s="22">
        <v>0</v>
      </c>
      <c r="N97" s="24">
        <f t="shared" si="8"/>
        <v>0</v>
      </c>
      <c r="O97" s="23" t="s">
        <v>290</v>
      </c>
      <c r="P97" s="22">
        <v>3</v>
      </c>
      <c r="Q97" s="23" t="s">
        <v>291</v>
      </c>
      <c r="R97" s="22">
        <v>85</v>
      </c>
      <c r="S97" s="24">
        <f>R97/89*100</f>
        <v>95.50561797752809</v>
      </c>
      <c r="T97" s="22" t="s">
        <v>31</v>
      </c>
      <c r="U97" s="24">
        <f t="shared" si="9"/>
        <v>83.343258426966287</v>
      </c>
      <c r="V97" s="22">
        <v>12</v>
      </c>
      <c r="W97" s="12"/>
    </row>
    <row r="98" spans="1:23" ht="14.25" customHeight="1" x14ac:dyDescent="0.25">
      <c r="A98" s="22" t="s">
        <v>67</v>
      </c>
      <c r="B98" s="22"/>
      <c r="C98" s="22">
        <v>11716032</v>
      </c>
      <c r="D98" s="22" t="s">
        <v>292</v>
      </c>
      <c r="E98" s="22" t="s">
        <v>258</v>
      </c>
      <c r="F98" s="22" t="s">
        <v>26</v>
      </c>
      <c r="G98" s="22" t="s">
        <v>27</v>
      </c>
      <c r="H98" s="22">
        <v>87.5</v>
      </c>
      <c r="I98" s="22">
        <f>H98/89.35*100</f>
        <v>97.929490766648016</v>
      </c>
      <c r="J98" s="22" t="s">
        <v>34</v>
      </c>
      <c r="K98" s="23"/>
      <c r="L98" s="22"/>
      <c r="M98" s="22">
        <v>0</v>
      </c>
      <c r="N98" s="24">
        <f t="shared" si="8"/>
        <v>0</v>
      </c>
      <c r="O98" s="23" t="s">
        <v>293</v>
      </c>
      <c r="P98" s="22">
        <v>8</v>
      </c>
      <c r="Q98" s="23" t="s">
        <v>294</v>
      </c>
      <c r="R98" s="22">
        <v>90</v>
      </c>
      <c r="S98" s="27">
        <f>R98/90*100</f>
        <v>100</v>
      </c>
      <c r="T98" s="22" t="s">
        <v>1008</v>
      </c>
      <c r="U98" s="24">
        <f t="shared" si="9"/>
        <v>83.250643536653612</v>
      </c>
      <c r="V98" s="22">
        <v>13</v>
      </c>
      <c r="W98" s="20"/>
    </row>
    <row r="99" spans="1:23" ht="14.25" customHeight="1" x14ac:dyDescent="0.25">
      <c r="A99" s="22" t="s">
        <v>76</v>
      </c>
      <c r="B99" s="22"/>
      <c r="C99" s="22">
        <v>11716074</v>
      </c>
      <c r="D99" s="22" t="s">
        <v>295</v>
      </c>
      <c r="E99" s="22" t="s">
        <v>258</v>
      </c>
      <c r="F99" s="22" t="s">
        <v>26</v>
      </c>
      <c r="G99" s="22" t="s">
        <v>27</v>
      </c>
      <c r="H99" s="22">
        <v>88.65</v>
      </c>
      <c r="I99" s="22">
        <f>H99/89*100</f>
        <v>99.606741573033716</v>
      </c>
      <c r="J99" s="22" t="s">
        <v>34</v>
      </c>
      <c r="K99" s="23"/>
      <c r="L99" s="22"/>
      <c r="M99" s="22">
        <v>0</v>
      </c>
      <c r="N99" s="24">
        <f t="shared" si="8"/>
        <v>0</v>
      </c>
      <c r="O99" s="23" t="s">
        <v>296</v>
      </c>
      <c r="P99" s="22">
        <v>3</v>
      </c>
      <c r="Q99" s="23" t="s">
        <v>297</v>
      </c>
      <c r="R99" s="22">
        <v>87</v>
      </c>
      <c r="S99" s="27">
        <f>R99/90*100</f>
        <v>96.666666666666671</v>
      </c>
      <c r="T99" s="22" t="s">
        <v>40</v>
      </c>
      <c r="U99" s="24">
        <f t="shared" si="9"/>
        <v>83.224719101123597</v>
      </c>
      <c r="V99" s="22">
        <v>14</v>
      </c>
      <c r="W99" s="12"/>
    </row>
    <row r="100" spans="1:23" ht="14.25" customHeight="1" x14ac:dyDescent="0.25">
      <c r="A100" s="22" t="s">
        <v>32</v>
      </c>
      <c r="B100" s="22"/>
      <c r="C100" s="22">
        <v>11716065</v>
      </c>
      <c r="D100" s="22" t="s">
        <v>298</v>
      </c>
      <c r="E100" s="22" t="s">
        <v>258</v>
      </c>
      <c r="F100" s="22" t="s">
        <v>26</v>
      </c>
      <c r="G100" s="22" t="s">
        <v>27</v>
      </c>
      <c r="H100" s="22">
        <v>88.89</v>
      </c>
      <c r="I100" s="22">
        <f>H100/89.05*100</f>
        <v>99.820325659741727</v>
      </c>
      <c r="J100" s="22" t="s">
        <v>34</v>
      </c>
      <c r="K100" s="23"/>
      <c r="L100" s="22"/>
      <c r="M100" s="22">
        <v>0</v>
      </c>
      <c r="N100" s="24">
        <f t="shared" si="8"/>
        <v>0</v>
      </c>
      <c r="O100" s="23" t="s">
        <v>299</v>
      </c>
      <c r="P100" s="22">
        <v>3</v>
      </c>
      <c r="Q100" s="23"/>
      <c r="R100" s="22">
        <v>85</v>
      </c>
      <c r="S100" s="24">
        <f>R100/89*100</f>
        <v>95.50561797752809</v>
      </c>
      <c r="T100" s="22" t="s">
        <v>40</v>
      </c>
      <c r="U100" s="24">
        <f t="shared" si="9"/>
        <v>83.217486388785488</v>
      </c>
      <c r="V100" s="22">
        <v>15</v>
      </c>
      <c r="W100" s="12"/>
    </row>
    <row r="101" spans="1:23" ht="14.25" customHeight="1" x14ac:dyDescent="0.25">
      <c r="A101" s="22" t="s">
        <v>76</v>
      </c>
      <c r="B101" s="22"/>
      <c r="C101" s="22">
        <v>11716078</v>
      </c>
      <c r="D101" s="22" t="s">
        <v>300</v>
      </c>
      <c r="E101" s="22" t="s">
        <v>258</v>
      </c>
      <c r="F101" s="22" t="s">
        <v>26</v>
      </c>
      <c r="G101" s="22" t="s">
        <v>27</v>
      </c>
      <c r="H101" s="29" t="s">
        <v>301</v>
      </c>
      <c r="I101" s="22">
        <f>H101/89*100</f>
        <v>99.876404494382015</v>
      </c>
      <c r="J101" s="22" t="s">
        <v>34</v>
      </c>
      <c r="K101" s="23"/>
      <c r="L101" s="22"/>
      <c r="M101" s="22">
        <v>0</v>
      </c>
      <c r="N101" s="24">
        <f t="shared" si="8"/>
        <v>0</v>
      </c>
      <c r="O101" s="23" t="s">
        <v>302</v>
      </c>
      <c r="P101" s="22">
        <v>3</v>
      </c>
      <c r="Q101" s="23" t="s">
        <v>303</v>
      </c>
      <c r="R101" s="22">
        <v>85</v>
      </c>
      <c r="S101" s="27">
        <f>R101/90*100</f>
        <v>94.444444444444443</v>
      </c>
      <c r="T101" s="22" t="s">
        <v>40</v>
      </c>
      <c r="U101" s="24">
        <f t="shared" si="9"/>
        <v>83.113483146067409</v>
      </c>
      <c r="V101" s="22">
        <v>16</v>
      </c>
      <c r="W101" s="12"/>
    </row>
    <row r="102" spans="1:23" ht="14.25" customHeight="1" x14ac:dyDescent="0.25">
      <c r="A102" s="22" t="s">
        <v>76</v>
      </c>
      <c r="B102" s="22"/>
      <c r="C102" s="22">
        <v>11716083</v>
      </c>
      <c r="D102" s="22" t="s">
        <v>304</v>
      </c>
      <c r="E102" s="22" t="s">
        <v>258</v>
      </c>
      <c r="F102" s="22" t="s">
        <v>26</v>
      </c>
      <c r="G102" s="22" t="s">
        <v>27</v>
      </c>
      <c r="H102" s="22">
        <v>89</v>
      </c>
      <c r="I102" s="22">
        <f>H102/89*100</f>
        <v>100</v>
      </c>
      <c r="J102" s="22" t="s">
        <v>34</v>
      </c>
      <c r="K102" s="23"/>
      <c r="L102" s="22"/>
      <c r="M102" s="22">
        <v>0</v>
      </c>
      <c r="N102" s="24">
        <f t="shared" si="8"/>
        <v>0</v>
      </c>
      <c r="O102" s="23"/>
      <c r="P102" s="22"/>
      <c r="Q102" s="23" t="s">
        <v>305</v>
      </c>
      <c r="R102" s="22">
        <v>86</v>
      </c>
      <c r="S102" s="27">
        <f>R102/90*100</f>
        <v>95.555555555555557</v>
      </c>
      <c r="T102" s="22" t="s">
        <v>40</v>
      </c>
      <c r="U102" s="24">
        <f t="shared" si="9"/>
        <v>82.9</v>
      </c>
      <c r="V102" s="22">
        <v>17</v>
      </c>
      <c r="W102" s="12"/>
    </row>
    <row r="103" spans="1:23" ht="14.25" customHeight="1" x14ac:dyDescent="0.25">
      <c r="A103" s="22" t="s">
        <v>76</v>
      </c>
      <c r="B103" s="22"/>
      <c r="C103" s="22">
        <v>11716077</v>
      </c>
      <c r="D103" s="22" t="s">
        <v>306</v>
      </c>
      <c r="E103" s="22" t="s">
        <v>258</v>
      </c>
      <c r="F103" s="22" t="s">
        <v>307</v>
      </c>
      <c r="G103" s="22" t="s">
        <v>27</v>
      </c>
      <c r="H103" s="29" t="s">
        <v>308</v>
      </c>
      <c r="I103" s="22">
        <f>H103/89*100</f>
        <v>99.528089887640448</v>
      </c>
      <c r="J103" s="22" t="s">
        <v>34</v>
      </c>
      <c r="K103" s="23"/>
      <c r="L103" s="22"/>
      <c r="M103" s="22">
        <v>0</v>
      </c>
      <c r="N103" s="24">
        <f t="shared" si="8"/>
        <v>0</v>
      </c>
      <c r="O103" s="23" t="s">
        <v>309</v>
      </c>
      <c r="P103" s="22">
        <v>3</v>
      </c>
      <c r="Q103" s="23" t="s">
        <v>310</v>
      </c>
      <c r="R103" s="22">
        <v>85</v>
      </c>
      <c r="S103" s="27">
        <f>R103/90*100</f>
        <v>94.444444444444443</v>
      </c>
      <c r="T103" s="22"/>
      <c r="U103" s="24">
        <f t="shared" si="9"/>
        <v>82.869662921348308</v>
      </c>
      <c r="V103" s="22">
        <v>18</v>
      </c>
      <c r="W103" s="12"/>
    </row>
    <row r="104" spans="1:23" ht="14.25" customHeight="1" x14ac:dyDescent="0.25">
      <c r="A104" s="22" t="s">
        <v>76</v>
      </c>
      <c r="B104" s="22"/>
      <c r="C104" s="22">
        <v>11716085</v>
      </c>
      <c r="D104" s="22" t="s">
        <v>311</v>
      </c>
      <c r="E104" s="22" t="s">
        <v>258</v>
      </c>
      <c r="F104" s="22" t="s">
        <v>26</v>
      </c>
      <c r="G104" s="22" t="s">
        <v>27</v>
      </c>
      <c r="H104" s="22">
        <v>87</v>
      </c>
      <c r="I104" s="22">
        <f>H104/89*100</f>
        <v>97.752808988764045</v>
      </c>
      <c r="J104" s="22" t="s">
        <v>34</v>
      </c>
      <c r="K104" s="23"/>
      <c r="L104" s="22"/>
      <c r="M104" s="22">
        <v>0</v>
      </c>
      <c r="N104" s="24">
        <f t="shared" si="8"/>
        <v>0</v>
      </c>
      <c r="O104" s="23" t="s">
        <v>312</v>
      </c>
      <c r="P104" s="22">
        <v>3</v>
      </c>
      <c r="Q104" s="23" t="s">
        <v>313</v>
      </c>
      <c r="R104" s="22">
        <v>86</v>
      </c>
      <c r="S104" s="27">
        <f>R104/90*100</f>
        <v>95.555555555555557</v>
      </c>
      <c r="T104" s="22"/>
      <c r="U104" s="24">
        <f t="shared" si="9"/>
        <v>81.776966292134816</v>
      </c>
      <c r="V104" s="22">
        <v>19</v>
      </c>
      <c r="W104" s="12"/>
    </row>
    <row r="105" spans="1:23" ht="14.25" customHeight="1" x14ac:dyDescent="0.25">
      <c r="A105" s="22" t="s">
        <v>32</v>
      </c>
      <c r="B105" s="22"/>
      <c r="C105" s="22">
        <v>11716063</v>
      </c>
      <c r="D105" s="22" t="s">
        <v>314</v>
      </c>
      <c r="E105" s="22" t="s">
        <v>258</v>
      </c>
      <c r="F105" s="22" t="s">
        <v>26</v>
      </c>
      <c r="G105" s="22" t="s">
        <v>27</v>
      </c>
      <c r="H105" s="22">
        <v>87.59</v>
      </c>
      <c r="I105" s="22">
        <f>H105/89.05*100</f>
        <v>98.360471645143193</v>
      </c>
      <c r="J105" s="22" t="s">
        <v>34</v>
      </c>
      <c r="K105" s="23"/>
      <c r="L105" s="22"/>
      <c r="M105" s="22">
        <v>0</v>
      </c>
      <c r="N105" s="24">
        <f t="shared" si="8"/>
        <v>0</v>
      </c>
      <c r="O105" s="23" t="s">
        <v>47</v>
      </c>
      <c r="P105" s="22">
        <v>0</v>
      </c>
      <c r="Q105" s="23" t="s">
        <v>47</v>
      </c>
      <c r="R105" s="22">
        <v>84</v>
      </c>
      <c r="S105" s="24">
        <f>R105/89*100</f>
        <v>94.382022471910105</v>
      </c>
      <c r="T105" s="22" t="s">
        <v>40</v>
      </c>
      <c r="U105" s="24">
        <f t="shared" si="9"/>
        <v>81.593903185308093</v>
      </c>
      <c r="V105" s="22">
        <v>20</v>
      </c>
      <c r="W105" s="12"/>
    </row>
    <row r="106" spans="1:23" ht="14.25" customHeight="1" x14ac:dyDescent="0.25">
      <c r="A106" s="22" t="s">
        <v>81</v>
      </c>
      <c r="B106" s="22"/>
      <c r="C106" s="22">
        <v>11716044</v>
      </c>
      <c r="D106" s="22" t="s">
        <v>315</v>
      </c>
      <c r="E106" s="22" t="s">
        <v>258</v>
      </c>
      <c r="F106" s="22" t="s">
        <v>26</v>
      </c>
      <c r="G106" s="22" t="s">
        <v>27</v>
      </c>
      <c r="H106" s="22">
        <v>86.69</v>
      </c>
      <c r="I106" s="22">
        <f>H106/88.53*100</f>
        <v>97.921608494295725</v>
      </c>
      <c r="J106" s="22" t="s">
        <v>34</v>
      </c>
      <c r="K106" s="23"/>
      <c r="L106" s="22"/>
      <c r="M106" s="22">
        <v>0</v>
      </c>
      <c r="N106" s="24">
        <f t="shared" si="8"/>
        <v>0</v>
      </c>
      <c r="O106" s="23" t="s">
        <v>316</v>
      </c>
      <c r="P106" s="22">
        <v>2</v>
      </c>
      <c r="Q106" s="23" t="s">
        <v>317</v>
      </c>
      <c r="R106" s="29">
        <v>83</v>
      </c>
      <c r="S106" s="27">
        <f>R106/90*100</f>
        <v>92.222222222222229</v>
      </c>
      <c r="T106" s="22" t="s">
        <v>40</v>
      </c>
      <c r="U106" s="24">
        <f t="shared" si="9"/>
        <v>81.295125946007005</v>
      </c>
      <c r="V106" s="22">
        <v>21</v>
      </c>
      <c r="W106" s="12"/>
    </row>
    <row r="107" spans="1:23" ht="14.25" customHeight="1" x14ac:dyDescent="0.25">
      <c r="A107" s="22" t="s">
        <v>32</v>
      </c>
      <c r="B107" s="22"/>
      <c r="C107" s="22">
        <v>11816092</v>
      </c>
      <c r="D107" s="22" t="s">
        <v>318</v>
      </c>
      <c r="E107" s="22" t="s">
        <v>258</v>
      </c>
      <c r="F107" s="22" t="s">
        <v>26</v>
      </c>
      <c r="G107" s="22" t="s">
        <v>27</v>
      </c>
      <c r="H107" s="22">
        <v>86.5</v>
      </c>
      <c r="I107" s="22">
        <f>H107/89.05*100</f>
        <v>97.136440202133628</v>
      </c>
      <c r="J107" s="22" t="s">
        <v>34</v>
      </c>
      <c r="K107" s="23"/>
      <c r="L107" s="22"/>
      <c r="M107" s="22">
        <v>0</v>
      </c>
      <c r="N107" s="24">
        <f t="shared" si="8"/>
        <v>0</v>
      </c>
      <c r="O107" s="23" t="s">
        <v>319</v>
      </c>
      <c r="P107" s="22">
        <v>3</v>
      </c>
      <c r="Q107" s="23"/>
      <c r="R107" s="22">
        <v>84</v>
      </c>
      <c r="S107" s="24">
        <f>R107/89*100</f>
        <v>94.382022471910105</v>
      </c>
      <c r="T107" s="22" t="s">
        <v>40</v>
      </c>
      <c r="U107" s="24">
        <f t="shared" si="9"/>
        <v>81.187081175201399</v>
      </c>
      <c r="V107" s="22">
        <v>22</v>
      </c>
      <c r="W107" s="12"/>
    </row>
    <row r="108" spans="1:23" ht="14.25" customHeight="1" x14ac:dyDescent="0.25">
      <c r="A108" s="22" t="s">
        <v>76</v>
      </c>
      <c r="B108" s="22"/>
      <c r="C108" s="22">
        <v>11716071</v>
      </c>
      <c r="D108" s="22" t="s">
        <v>320</v>
      </c>
      <c r="E108" s="22" t="s">
        <v>258</v>
      </c>
      <c r="F108" s="22" t="s">
        <v>26</v>
      </c>
      <c r="G108" s="22" t="s">
        <v>27</v>
      </c>
      <c r="H108" s="22">
        <v>86.18</v>
      </c>
      <c r="I108" s="22">
        <f>H108/89*100</f>
        <v>96.831460674157313</v>
      </c>
      <c r="J108" s="22" t="s">
        <v>34</v>
      </c>
      <c r="K108" s="23"/>
      <c r="L108" s="22"/>
      <c r="M108" s="22">
        <v>0</v>
      </c>
      <c r="N108" s="24">
        <f t="shared" si="8"/>
        <v>0</v>
      </c>
      <c r="O108" s="23"/>
      <c r="P108" s="22"/>
      <c r="Q108" s="23" t="s">
        <v>321</v>
      </c>
      <c r="R108" s="22">
        <v>87</v>
      </c>
      <c r="S108" s="27">
        <f>R108/90*100</f>
        <v>96.666666666666671</v>
      </c>
      <c r="T108" s="22"/>
      <c r="U108" s="24">
        <f t="shared" si="9"/>
        <v>80.832022471910108</v>
      </c>
      <c r="V108" s="22">
        <v>23</v>
      </c>
      <c r="W108" s="12"/>
    </row>
    <row r="109" spans="1:23" ht="14.25" customHeight="1" x14ac:dyDescent="0.25">
      <c r="A109" s="22" t="s">
        <v>76</v>
      </c>
      <c r="B109" s="22"/>
      <c r="C109" s="22">
        <v>11716073</v>
      </c>
      <c r="D109" s="22" t="s">
        <v>322</v>
      </c>
      <c r="E109" s="22" t="s">
        <v>258</v>
      </c>
      <c r="F109" s="22" t="s">
        <v>26</v>
      </c>
      <c r="G109" s="22" t="s">
        <v>27</v>
      </c>
      <c r="H109" s="22">
        <v>85.58</v>
      </c>
      <c r="I109" s="22">
        <f>H109/89*100</f>
        <v>96.157303370786522</v>
      </c>
      <c r="J109" s="22" t="s">
        <v>34</v>
      </c>
      <c r="K109" s="23"/>
      <c r="L109" s="22"/>
      <c r="M109" s="22">
        <v>0</v>
      </c>
      <c r="N109" s="24">
        <f t="shared" si="8"/>
        <v>0</v>
      </c>
      <c r="O109" s="23" t="s">
        <v>323</v>
      </c>
      <c r="P109" s="22">
        <v>3</v>
      </c>
      <c r="Q109" s="23" t="s">
        <v>324</v>
      </c>
      <c r="R109" s="22">
        <v>85</v>
      </c>
      <c r="S109" s="27">
        <f>R109/90*100</f>
        <v>94.444444444444443</v>
      </c>
      <c r="T109" s="22"/>
      <c r="U109" s="24">
        <f t="shared" si="9"/>
        <v>80.510112359550561</v>
      </c>
      <c r="V109" s="22">
        <v>24</v>
      </c>
      <c r="W109" s="12"/>
    </row>
    <row r="110" spans="1:23" ht="14.25" customHeight="1" x14ac:dyDescent="0.25">
      <c r="A110" s="22" t="s">
        <v>73</v>
      </c>
      <c r="B110" s="22"/>
      <c r="C110" s="22">
        <v>11716048</v>
      </c>
      <c r="D110" s="22" t="s">
        <v>325</v>
      </c>
      <c r="E110" s="22" t="s">
        <v>258</v>
      </c>
      <c r="F110" s="22" t="s">
        <v>26</v>
      </c>
      <c r="G110" s="22" t="s">
        <v>27</v>
      </c>
      <c r="H110" s="22">
        <v>87.8</v>
      </c>
      <c r="I110" s="22">
        <f>H110/91.47*100</f>
        <v>95.987755548267188</v>
      </c>
      <c r="J110" s="22" t="s">
        <v>34</v>
      </c>
      <c r="K110" s="23"/>
      <c r="L110" s="22"/>
      <c r="M110" s="22">
        <v>0</v>
      </c>
      <c r="N110" s="24">
        <f t="shared" si="8"/>
        <v>0</v>
      </c>
      <c r="O110" s="23"/>
      <c r="P110" s="22">
        <v>0</v>
      </c>
      <c r="Q110" s="23" t="s">
        <v>208</v>
      </c>
      <c r="R110" s="22">
        <v>88</v>
      </c>
      <c r="S110" s="25">
        <f>(R110/90)*100</f>
        <v>97.777777777777771</v>
      </c>
      <c r="T110" s="22" t="s">
        <v>40</v>
      </c>
      <c r="U110" s="24">
        <f t="shared" si="9"/>
        <v>80.391428883787029</v>
      </c>
      <c r="V110" s="22">
        <v>25</v>
      </c>
      <c r="W110" s="12"/>
    </row>
    <row r="111" spans="1:23" ht="14.25" customHeight="1" x14ac:dyDescent="0.25">
      <c r="A111" s="22" t="s">
        <v>76</v>
      </c>
      <c r="B111" s="22"/>
      <c r="C111" s="22">
        <v>11716076</v>
      </c>
      <c r="D111" s="22" t="s">
        <v>326</v>
      </c>
      <c r="E111" s="22" t="s">
        <v>258</v>
      </c>
      <c r="F111" s="22" t="s">
        <v>26</v>
      </c>
      <c r="G111" s="22" t="s">
        <v>27</v>
      </c>
      <c r="H111" s="22">
        <v>85.18</v>
      </c>
      <c r="I111" s="22">
        <f>H111/89*100</f>
        <v>95.707865168539328</v>
      </c>
      <c r="J111" s="22" t="s">
        <v>34</v>
      </c>
      <c r="K111" s="23"/>
      <c r="L111" s="22"/>
      <c r="M111" s="22">
        <v>0</v>
      </c>
      <c r="N111" s="24">
        <f t="shared" si="8"/>
        <v>0</v>
      </c>
      <c r="O111" s="23" t="s">
        <v>327</v>
      </c>
      <c r="P111" s="22">
        <v>4</v>
      </c>
      <c r="Q111" s="23"/>
      <c r="R111" s="22">
        <v>83</v>
      </c>
      <c r="S111" s="27">
        <f>R111/90*100</f>
        <v>92.222222222222229</v>
      </c>
      <c r="T111" s="22"/>
      <c r="U111" s="24">
        <f t="shared" si="9"/>
        <v>80.045505617977526</v>
      </c>
      <c r="V111" s="22">
        <v>26</v>
      </c>
      <c r="W111" s="12"/>
    </row>
    <row r="112" spans="1:23" ht="14.25" customHeight="1" x14ac:dyDescent="0.25">
      <c r="A112" s="22" t="s">
        <v>32</v>
      </c>
      <c r="B112" s="22"/>
      <c r="C112" s="22">
        <v>11716060</v>
      </c>
      <c r="D112" s="22" t="s">
        <v>328</v>
      </c>
      <c r="E112" s="22" t="s">
        <v>258</v>
      </c>
      <c r="F112" s="22" t="s">
        <v>26</v>
      </c>
      <c r="G112" s="22" t="s">
        <v>27</v>
      </c>
      <c r="H112" s="22">
        <v>84.57</v>
      </c>
      <c r="I112" s="22">
        <f>H112/89.05*100</f>
        <v>94.969118472768102</v>
      </c>
      <c r="J112" s="22" t="s">
        <v>34</v>
      </c>
      <c r="K112" s="23"/>
      <c r="L112" s="22"/>
      <c r="M112" s="22">
        <v>0</v>
      </c>
      <c r="N112" s="24">
        <f t="shared" si="8"/>
        <v>0</v>
      </c>
      <c r="O112" s="23" t="s">
        <v>329</v>
      </c>
      <c r="P112" s="22">
        <v>3</v>
      </c>
      <c r="Q112" s="23" t="s">
        <v>330</v>
      </c>
      <c r="R112" s="22">
        <v>86</v>
      </c>
      <c r="S112" s="24">
        <f>R112/89*100</f>
        <v>96.629213483146074</v>
      </c>
      <c r="T112" s="22"/>
      <c r="U112" s="24">
        <f t="shared" si="9"/>
        <v>79.973326751162389</v>
      </c>
      <c r="V112" s="22">
        <v>27</v>
      </c>
      <c r="W112" s="12"/>
    </row>
    <row r="113" spans="1:23" ht="14.25" customHeight="1" x14ac:dyDescent="0.25">
      <c r="A113" s="22" t="s">
        <v>67</v>
      </c>
      <c r="B113" s="22"/>
      <c r="C113" s="30">
        <v>11716034</v>
      </c>
      <c r="D113" s="22" t="s">
        <v>331</v>
      </c>
      <c r="E113" s="22" t="s">
        <v>258</v>
      </c>
      <c r="F113" s="22" t="s">
        <v>26</v>
      </c>
      <c r="G113" s="22" t="s">
        <v>27</v>
      </c>
      <c r="H113" s="22">
        <v>85.76</v>
      </c>
      <c r="I113" s="22">
        <f>H113/89.35*100</f>
        <v>95.98209289311697</v>
      </c>
      <c r="J113" s="22" t="s">
        <v>34</v>
      </c>
      <c r="K113" s="23"/>
      <c r="L113" s="22"/>
      <c r="M113" s="22">
        <v>0</v>
      </c>
      <c r="N113" s="24">
        <f t="shared" si="8"/>
        <v>0</v>
      </c>
      <c r="O113" s="23" t="s">
        <v>332</v>
      </c>
      <c r="P113" s="22"/>
      <c r="Q113" s="23" t="s">
        <v>333</v>
      </c>
      <c r="R113" s="22">
        <v>85</v>
      </c>
      <c r="S113" s="27">
        <f>R113/90*100</f>
        <v>94.444444444444443</v>
      </c>
      <c r="T113" s="22" t="s">
        <v>40</v>
      </c>
      <c r="U113" s="24">
        <f t="shared" si="9"/>
        <v>79.937465025181879</v>
      </c>
      <c r="V113" s="22">
        <v>28</v>
      </c>
      <c r="W113" s="12"/>
    </row>
    <row r="114" spans="1:23" ht="14.25" customHeight="1" x14ac:dyDescent="0.25">
      <c r="A114" s="22" t="s">
        <v>73</v>
      </c>
      <c r="B114" s="22"/>
      <c r="C114" s="22">
        <v>11716051</v>
      </c>
      <c r="D114" s="22" t="s">
        <v>334</v>
      </c>
      <c r="E114" s="22" t="s">
        <v>258</v>
      </c>
      <c r="F114" s="22" t="s">
        <v>26</v>
      </c>
      <c r="G114" s="22" t="s">
        <v>27</v>
      </c>
      <c r="H114" s="22">
        <v>86.65</v>
      </c>
      <c r="I114" s="22">
        <f>H114/91.47*100</f>
        <v>94.730512736416316</v>
      </c>
      <c r="J114" s="22" t="s">
        <v>34</v>
      </c>
      <c r="K114" s="23"/>
      <c r="L114" s="22"/>
      <c r="M114" s="22">
        <v>0</v>
      </c>
      <c r="N114" s="24">
        <f t="shared" si="8"/>
        <v>0</v>
      </c>
      <c r="O114" s="23" t="s">
        <v>335</v>
      </c>
      <c r="P114" s="22">
        <v>4</v>
      </c>
      <c r="Q114" s="23" t="s">
        <v>47</v>
      </c>
      <c r="R114" s="22">
        <v>85</v>
      </c>
      <c r="S114" s="25">
        <f>(R114/90)*100</f>
        <v>94.444444444444443</v>
      </c>
      <c r="T114" s="22"/>
      <c r="U114" s="24">
        <f t="shared" si="9"/>
        <v>79.661358915491405</v>
      </c>
      <c r="V114" s="22">
        <v>29</v>
      </c>
      <c r="W114" s="12"/>
    </row>
    <row r="115" spans="1:23" ht="14.25" customHeight="1" x14ac:dyDescent="0.25">
      <c r="A115" s="22" t="s">
        <v>67</v>
      </c>
      <c r="B115" s="22"/>
      <c r="C115" s="22">
        <v>11716036</v>
      </c>
      <c r="D115" s="22" t="s">
        <v>336</v>
      </c>
      <c r="E115" s="22" t="s">
        <v>258</v>
      </c>
      <c r="F115" s="22" t="s">
        <v>26</v>
      </c>
      <c r="G115" s="22" t="s">
        <v>27</v>
      </c>
      <c r="H115" s="22">
        <v>84.29</v>
      </c>
      <c r="I115" s="22">
        <f>H115/89.35*100</f>
        <v>94.336877448237274</v>
      </c>
      <c r="J115" s="22" t="s">
        <v>34</v>
      </c>
      <c r="K115" s="23"/>
      <c r="L115" s="22"/>
      <c r="M115" s="22">
        <v>0</v>
      </c>
      <c r="N115" s="24">
        <f t="shared" si="8"/>
        <v>0</v>
      </c>
      <c r="O115" s="23" t="s">
        <v>337</v>
      </c>
      <c r="P115" s="22">
        <v>3</v>
      </c>
      <c r="Q115" s="23"/>
      <c r="R115" s="22">
        <v>85</v>
      </c>
      <c r="S115" s="27">
        <f>R115/90*100</f>
        <v>94.444444444444443</v>
      </c>
      <c r="T115" s="22" t="s">
        <v>40</v>
      </c>
      <c r="U115" s="24">
        <f t="shared" si="9"/>
        <v>79.235814213766091</v>
      </c>
      <c r="V115" s="22">
        <v>30</v>
      </c>
      <c r="W115" s="12"/>
    </row>
    <row r="116" spans="1:23" ht="14.25" customHeight="1" x14ac:dyDescent="0.25">
      <c r="A116" s="22" t="s">
        <v>73</v>
      </c>
      <c r="B116" s="22"/>
      <c r="C116" s="22">
        <v>11716054</v>
      </c>
      <c r="D116" s="22" t="s">
        <v>338</v>
      </c>
      <c r="E116" s="22" t="s">
        <v>258</v>
      </c>
      <c r="F116" s="22" t="s">
        <v>26</v>
      </c>
      <c r="G116" s="22" t="s">
        <v>27</v>
      </c>
      <c r="H116" s="22">
        <v>85.53</v>
      </c>
      <c r="I116" s="22">
        <f>H116/91.47*100</f>
        <v>93.50606756313546</v>
      </c>
      <c r="J116" s="22" t="s">
        <v>34</v>
      </c>
      <c r="K116" s="23"/>
      <c r="L116" s="22"/>
      <c r="M116" s="22">
        <v>0</v>
      </c>
      <c r="N116" s="24">
        <f t="shared" si="8"/>
        <v>0</v>
      </c>
      <c r="O116" s="23" t="s">
        <v>339</v>
      </c>
      <c r="P116" s="22">
        <v>3</v>
      </c>
      <c r="Q116" s="23" t="s">
        <v>340</v>
      </c>
      <c r="R116" s="22">
        <v>85</v>
      </c>
      <c r="S116" s="25">
        <f>(R116/90)*100</f>
        <v>94.444444444444443</v>
      </c>
      <c r="T116" s="22" t="s">
        <v>31</v>
      </c>
      <c r="U116" s="24">
        <f t="shared" si="9"/>
        <v>78.654247294194818</v>
      </c>
      <c r="V116" s="22">
        <v>31</v>
      </c>
      <c r="W116" s="12"/>
    </row>
    <row r="117" spans="1:23" ht="14.25" customHeight="1" x14ac:dyDescent="0.25">
      <c r="A117" s="22" t="s">
        <v>76</v>
      </c>
      <c r="B117" s="22"/>
      <c r="C117" s="22">
        <v>11716084</v>
      </c>
      <c r="D117" s="22" t="s">
        <v>341</v>
      </c>
      <c r="E117" s="22" t="s">
        <v>258</v>
      </c>
      <c r="F117" s="22" t="s">
        <v>26</v>
      </c>
      <c r="G117" s="22" t="s">
        <v>27</v>
      </c>
      <c r="H117" s="22">
        <v>83.25</v>
      </c>
      <c r="I117" s="22">
        <f>H117/89*100</f>
        <v>93.539325842696627</v>
      </c>
      <c r="J117" s="22" t="s">
        <v>34</v>
      </c>
      <c r="K117" s="23"/>
      <c r="L117" s="22"/>
      <c r="M117" s="22">
        <v>0</v>
      </c>
      <c r="N117" s="24">
        <f t="shared" si="8"/>
        <v>0</v>
      </c>
      <c r="O117" s="23"/>
      <c r="P117" s="22"/>
      <c r="Q117" s="23" t="s">
        <v>342</v>
      </c>
      <c r="R117" s="22">
        <v>86</v>
      </c>
      <c r="S117" s="27">
        <f>R117/90*100</f>
        <v>95.555555555555557</v>
      </c>
      <c r="T117" s="22"/>
      <c r="U117" s="24">
        <f t="shared" si="9"/>
        <v>78.377528089887647</v>
      </c>
      <c r="V117" s="22">
        <v>32</v>
      </c>
      <c r="W117" s="12"/>
    </row>
    <row r="118" spans="1:23" ht="14.25" customHeight="1" x14ac:dyDescent="0.25">
      <c r="A118" s="22" t="s">
        <v>76</v>
      </c>
      <c r="B118" s="22"/>
      <c r="C118" s="22">
        <v>11716086</v>
      </c>
      <c r="D118" s="22" t="s">
        <v>343</v>
      </c>
      <c r="E118" s="22" t="s">
        <v>258</v>
      </c>
      <c r="F118" s="22" t="s">
        <v>26</v>
      </c>
      <c r="G118" s="22" t="s">
        <v>27</v>
      </c>
      <c r="H118" s="22">
        <v>83.25</v>
      </c>
      <c r="I118" s="22">
        <f>H118/89*100</f>
        <v>93.539325842696627</v>
      </c>
      <c r="J118" s="22" t="s">
        <v>34</v>
      </c>
      <c r="K118" s="23"/>
      <c r="L118" s="22"/>
      <c r="M118" s="22">
        <v>0</v>
      </c>
      <c r="N118" s="24">
        <f t="shared" si="8"/>
        <v>0</v>
      </c>
      <c r="O118" s="23"/>
      <c r="P118" s="22"/>
      <c r="Q118" s="23"/>
      <c r="R118" s="22">
        <v>82</v>
      </c>
      <c r="S118" s="27">
        <f>R118/90*100</f>
        <v>91.111111111111114</v>
      </c>
      <c r="T118" s="22"/>
      <c r="U118" s="24">
        <f t="shared" si="9"/>
        <v>77.777528089887639</v>
      </c>
      <c r="V118" s="22">
        <v>33</v>
      </c>
      <c r="W118" s="12"/>
    </row>
    <row r="119" spans="1:23" ht="14.25" customHeight="1" x14ac:dyDescent="0.25">
      <c r="A119" s="22" t="s">
        <v>32</v>
      </c>
      <c r="B119" s="22"/>
      <c r="C119" s="22">
        <v>11716062</v>
      </c>
      <c r="D119" s="22" t="s">
        <v>344</v>
      </c>
      <c r="E119" s="22" t="s">
        <v>258</v>
      </c>
      <c r="F119" s="22" t="s">
        <v>26</v>
      </c>
      <c r="G119" s="22" t="s">
        <v>27</v>
      </c>
      <c r="H119" s="22">
        <v>82.47</v>
      </c>
      <c r="I119" s="22">
        <f>H119/89.05*100</f>
        <v>92.610892756878158</v>
      </c>
      <c r="J119" s="22" t="s">
        <v>34</v>
      </c>
      <c r="K119" s="23"/>
      <c r="L119" s="31"/>
      <c r="M119" s="22">
        <v>0</v>
      </c>
      <c r="N119" s="24">
        <f t="shared" si="8"/>
        <v>0</v>
      </c>
      <c r="O119" s="23"/>
      <c r="P119" s="22">
        <v>0</v>
      </c>
      <c r="Q119" s="23" t="s">
        <v>345</v>
      </c>
      <c r="R119" s="22">
        <v>85</v>
      </c>
      <c r="S119" s="24">
        <f>R119/89*100</f>
        <v>95.50561797752809</v>
      </c>
      <c r="T119" s="22"/>
      <c r="U119" s="24">
        <f t="shared" si="9"/>
        <v>77.720883356781002</v>
      </c>
      <c r="V119" s="22">
        <v>34</v>
      </c>
      <c r="W119" s="12"/>
    </row>
    <row r="120" spans="1:23" ht="14.25" customHeight="1" x14ac:dyDescent="0.25">
      <c r="A120" s="22" t="s">
        <v>73</v>
      </c>
      <c r="B120" s="22"/>
      <c r="C120" s="22">
        <v>11716049</v>
      </c>
      <c r="D120" s="22" t="s">
        <v>346</v>
      </c>
      <c r="E120" s="22" t="s">
        <v>258</v>
      </c>
      <c r="F120" s="22" t="s">
        <v>26</v>
      </c>
      <c r="G120" s="22" t="s">
        <v>27</v>
      </c>
      <c r="H120" s="22">
        <v>83.4</v>
      </c>
      <c r="I120" s="22">
        <f>H120/91.47*100</f>
        <v>91.177435224663824</v>
      </c>
      <c r="J120" s="22" t="s">
        <v>34</v>
      </c>
      <c r="K120" s="23"/>
      <c r="L120" s="22"/>
      <c r="M120" s="22">
        <v>0</v>
      </c>
      <c r="N120" s="24">
        <f t="shared" si="8"/>
        <v>0</v>
      </c>
      <c r="O120" s="23" t="s">
        <v>347</v>
      </c>
      <c r="P120" s="22">
        <v>3</v>
      </c>
      <c r="Q120" s="23" t="s">
        <v>348</v>
      </c>
      <c r="R120" s="22">
        <v>88</v>
      </c>
      <c r="S120" s="25">
        <f>(R120/90)*100</f>
        <v>97.777777777777771</v>
      </c>
      <c r="T120" s="22" t="s">
        <v>31</v>
      </c>
      <c r="U120" s="24">
        <f t="shared" si="9"/>
        <v>77.474204657264679</v>
      </c>
      <c r="V120" s="22">
        <v>35</v>
      </c>
      <c r="W120" s="12"/>
    </row>
    <row r="121" spans="1:23" ht="14.25" customHeight="1" x14ac:dyDescent="0.25">
      <c r="A121" s="22" t="s">
        <v>59</v>
      </c>
      <c r="B121" s="22"/>
      <c r="C121" s="22">
        <v>11816014</v>
      </c>
      <c r="D121" s="22" t="s">
        <v>349</v>
      </c>
      <c r="E121" s="22" t="s">
        <v>258</v>
      </c>
      <c r="F121" s="22" t="s">
        <v>26</v>
      </c>
      <c r="G121" s="22" t="s">
        <v>27</v>
      </c>
      <c r="H121" s="22">
        <v>80</v>
      </c>
      <c r="I121" s="22">
        <f>H121/89*100</f>
        <v>89.887640449438194</v>
      </c>
      <c r="J121" s="22" t="s">
        <v>34</v>
      </c>
      <c r="K121" s="23"/>
      <c r="L121" s="22"/>
      <c r="M121" s="22">
        <v>0</v>
      </c>
      <c r="N121" s="24">
        <f t="shared" si="8"/>
        <v>0</v>
      </c>
      <c r="O121" s="23"/>
      <c r="P121" s="22">
        <v>0</v>
      </c>
      <c r="Q121" s="23" t="s">
        <v>350</v>
      </c>
      <c r="R121" s="22">
        <v>87</v>
      </c>
      <c r="S121" s="25">
        <f>R121/90*100</f>
        <v>96.666666666666671</v>
      </c>
      <c r="T121" s="22"/>
      <c r="U121" s="24">
        <f t="shared" si="9"/>
        <v>75.971348314606729</v>
      </c>
      <c r="V121" s="22">
        <v>36</v>
      </c>
      <c r="W121" s="12"/>
    </row>
    <row r="122" spans="1:23" ht="14.25" customHeight="1" x14ac:dyDescent="0.25">
      <c r="A122" s="32" t="s">
        <v>22</v>
      </c>
      <c r="B122" s="32" t="s">
        <v>1013</v>
      </c>
      <c r="C122" s="32">
        <v>21616179</v>
      </c>
      <c r="D122" s="32" t="s">
        <v>351</v>
      </c>
      <c r="E122" s="32" t="s">
        <v>352</v>
      </c>
      <c r="F122" s="32" t="s">
        <v>26</v>
      </c>
      <c r="G122" s="32" t="s">
        <v>27</v>
      </c>
      <c r="H122" s="32"/>
      <c r="I122" s="32"/>
      <c r="J122" s="32" t="s">
        <v>28</v>
      </c>
      <c r="K122" s="33" t="s">
        <v>353</v>
      </c>
      <c r="L122" s="32"/>
      <c r="M122" s="32">
        <f>5*7.25+2*5.291+6</f>
        <v>52.832000000000001</v>
      </c>
      <c r="N122" s="34">
        <f t="shared" ref="N122:N177" si="10">M122/52.832*100</f>
        <v>100</v>
      </c>
      <c r="O122" s="33"/>
      <c r="P122" s="32">
        <v>0</v>
      </c>
      <c r="Q122" s="33" t="s">
        <v>354</v>
      </c>
      <c r="R122" s="32">
        <v>85</v>
      </c>
      <c r="S122" s="35">
        <f>R122/90*100</f>
        <v>94.444444444444443</v>
      </c>
      <c r="T122" s="32" t="s">
        <v>31</v>
      </c>
      <c r="U122" s="34">
        <f t="shared" ref="U122:U177" si="11">N122*0.8+(P122+0.9*S122)*0.2</f>
        <v>97</v>
      </c>
      <c r="V122" s="32">
        <v>1</v>
      </c>
      <c r="W122" s="12"/>
    </row>
    <row r="123" spans="1:23" ht="14.25" customHeight="1" x14ac:dyDescent="0.25">
      <c r="A123" s="32" t="s">
        <v>22</v>
      </c>
      <c r="B123" s="37" t="s">
        <v>1014</v>
      </c>
      <c r="C123" s="32">
        <v>21616181</v>
      </c>
      <c r="D123" s="32" t="s">
        <v>355</v>
      </c>
      <c r="E123" s="32" t="s">
        <v>352</v>
      </c>
      <c r="F123" s="32" t="s">
        <v>26</v>
      </c>
      <c r="G123" s="32" t="s">
        <v>27</v>
      </c>
      <c r="H123" s="32"/>
      <c r="I123" s="32"/>
      <c r="J123" s="32" t="s">
        <v>28</v>
      </c>
      <c r="K123" s="36" t="s">
        <v>356</v>
      </c>
      <c r="L123" s="32"/>
      <c r="M123" s="32">
        <f>7*4+1*4.984</f>
        <v>32.984000000000002</v>
      </c>
      <c r="N123" s="34">
        <f t="shared" si="10"/>
        <v>62.431859479103579</v>
      </c>
      <c r="O123" s="33"/>
      <c r="P123" s="32">
        <v>0</v>
      </c>
      <c r="Q123" s="33" t="s">
        <v>357</v>
      </c>
      <c r="R123" s="32">
        <v>84</v>
      </c>
      <c r="S123" s="35">
        <f>R123/90*100</f>
        <v>93.333333333333329</v>
      </c>
      <c r="T123" s="32" t="s">
        <v>31</v>
      </c>
      <c r="U123" s="34">
        <f t="shared" si="11"/>
        <v>66.745487583282866</v>
      </c>
      <c r="V123" s="32">
        <v>2</v>
      </c>
      <c r="W123" s="12"/>
    </row>
    <row r="124" spans="1:23" ht="14.25" customHeight="1" x14ac:dyDescent="0.25">
      <c r="A124" s="32" t="s">
        <v>22</v>
      </c>
      <c r="B124" s="77" t="s">
        <v>1015</v>
      </c>
      <c r="C124" s="32">
        <v>21616183</v>
      </c>
      <c r="D124" s="32" t="s">
        <v>358</v>
      </c>
      <c r="E124" s="32" t="s">
        <v>352</v>
      </c>
      <c r="F124" s="32" t="s">
        <v>26</v>
      </c>
      <c r="G124" s="32" t="s">
        <v>27</v>
      </c>
      <c r="H124" s="32"/>
      <c r="I124" s="32"/>
      <c r="J124" s="32" t="s">
        <v>28</v>
      </c>
      <c r="K124" s="33" t="s">
        <v>359</v>
      </c>
      <c r="L124" s="32"/>
      <c r="M124" s="32">
        <f>7*3.222+1*4+1*3.791</f>
        <v>30.344999999999999</v>
      </c>
      <c r="N124" s="34">
        <f t="shared" si="10"/>
        <v>57.436780738946091</v>
      </c>
      <c r="O124" s="33"/>
      <c r="P124" s="32">
        <v>0</v>
      </c>
      <c r="Q124" s="33"/>
      <c r="R124" s="32">
        <v>84</v>
      </c>
      <c r="S124" s="35">
        <f>R124/90*100</f>
        <v>93.333333333333329</v>
      </c>
      <c r="T124" s="32" t="s">
        <v>40</v>
      </c>
      <c r="U124" s="34">
        <f t="shared" si="11"/>
        <v>62.749424591156881</v>
      </c>
      <c r="V124" s="32">
        <v>3</v>
      </c>
      <c r="W124" s="12"/>
    </row>
    <row r="125" spans="1:23" ht="14.25" customHeight="1" x14ac:dyDescent="0.25">
      <c r="A125" s="32" t="s">
        <v>73</v>
      </c>
      <c r="B125" s="32" t="s">
        <v>23</v>
      </c>
      <c r="C125" s="32">
        <v>21616081</v>
      </c>
      <c r="D125" s="32" t="s">
        <v>360</v>
      </c>
      <c r="E125" s="32" t="s">
        <v>352</v>
      </c>
      <c r="F125" s="32" t="s">
        <v>26</v>
      </c>
      <c r="G125" s="32" t="s">
        <v>27</v>
      </c>
      <c r="H125" s="32"/>
      <c r="I125" s="32"/>
      <c r="J125" s="32" t="s">
        <v>28</v>
      </c>
      <c r="K125" s="33" t="s">
        <v>361</v>
      </c>
      <c r="L125" s="32"/>
      <c r="M125" s="32">
        <f>7.833*2+6.151*2</f>
        <v>27.968</v>
      </c>
      <c r="N125" s="34">
        <f t="shared" si="10"/>
        <v>52.937613567534825</v>
      </c>
      <c r="O125" s="33" t="s">
        <v>362</v>
      </c>
      <c r="P125" s="32">
        <v>3</v>
      </c>
      <c r="Q125" s="33" t="s">
        <v>363</v>
      </c>
      <c r="R125" s="32">
        <v>85</v>
      </c>
      <c r="S125" s="35">
        <f>(R125/90)*100</f>
        <v>94.444444444444443</v>
      </c>
      <c r="T125" s="32" t="s">
        <v>40</v>
      </c>
      <c r="U125" s="34">
        <f t="shared" si="11"/>
        <v>59.950090854027863</v>
      </c>
      <c r="V125" s="32">
        <v>4</v>
      </c>
      <c r="W125" s="12"/>
    </row>
    <row r="126" spans="1:23" ht="14.25" customHeight="1" x14ac:dyDescent="0.25">
      <c r="A126" s="32" t="s">
        <v>59</v>
      </c>
      <c r="B126" s="32"/>
      <c r="C126" s="32">
        <v>21616096</v>
      </c>
      <c r="D126" s="32" t="s">
        <v>364</v>
      </c>
      <c r="E126" s="32" t="s">
        <v>352</v>
      </c>
      <c r="F126" s="32" t="s">
        <v>26</v>
      </c>
      <c r="G126" s="32" t="s">
        <v>27</v>
      </c>
      <c r="H126" s="32"/>
      <c r="I126" s="32"/>
      <c r="J126" s="32" t="s">
        <v>28</v>
      </c>
      <c r="K126" s="33" t="s">
        <v>365</v>
      </c>
      <c r="L126" s="32" t="s">
        <v>366</v>
      </c>
      <c r="M126" s="32">
        <f>5.862*2+3.268*2+3.268</f>
        <v>21.527999999999999</v>
      </c>
      <c r="N126" s="34">
        <f t="shared" si="10"/>
        <v>40.748031496062985</v>
      </c>
      <c r="O126" s="33" t="s">
        <v>367</v>
      </c>
      <c r="P126" s="32">
        <v>0</v>
      </c>
      <c r="Q126" s="33" t="s">
        <v>350</v>
      </c>
      <c r="R126" s="32">
        <v>88</v>
      </c>
      <c r="S126" s="35">
        <f>R126/90*100</f>
        <v>97.777777777777771</v>
      </c>
      <c r="T126" s="32" t="s">
        <v>40</v>
      </c>
      <c r="U126" s="34">
        <f t="shared" si="11"/>
        <v>50.198425196850394</v>
      </c>
      <c r="V126" s="32">
        <v>5</v>
      </c>
      <c r="W126" s="12"/>
    </row>
    <row r="127" spans="1:23" ht="14.25" customHeight="1" x14ac:dyDescent="0.25">
      <c r="A127" s="32" t="s">
        <v>59</v>
      </c>
      <c r="B127" s="32" t="s">
        <v>23</v>
      </c>
      <c r="C127" s="32">
        <v>21616100</v>
      </c>
      <c r="D127" s="32" t="s">
        <v>368</v>
      </c>
      <c r="E127" s="32" t="s">
        <v>352</v>
      </c>
      <c r="F127" s="32" t="s">
        <v>26</v>
      </c>
      <c r="G127" s="32" t="s">
        <v>27</v>
      </c>
      <c r="H127" s="32"/>
      <c r="I127" s="32"/>
      <c r="J127" s="32" t="s">
        <v>28</v>
      </c>
      <c r="K127" s="33" t="s">
        <v>369</v>
      </c>
      <c r="L127" s="32" t="s">
        <v>370</v>
      </c>
      <c r="M127" s="32">
        <f>2.173*7+6</f>
        <v>21.210999999999999</v>
      </c>
      <c r="N127" s="34">
        <f t="shared" si="10"/>
        <v>40.148016353725012</v>
      </c>
      <c r="O127" s="33"/>
      <c r="P127" s="32">
        <v>0</v>
      </c>
      <c r="Q127" s="33" t="s">
        <v>371</v>
      </c>
      <c r="R127" s="32">
        <v>90</v>
      </c>
      <c r="S127" s="35">
        <f>R127/90*100</f>
        <v>100</v>
      </c>
      <c r="T127" s="32" t="s">
        <v>31</v>
      </c>
      <c r="U127" s="34">
        <f t="shared" si="11"/>
        <v>50.118413082980013</v>
      </c>
      <c r="V127" s="32">
        <v>6</v>
      </c>
      <c r="W127" s="12"/>
    </row>
    <row r="128" spans="1:23" ht="14.25" customHeight="1" x14ac:dyDescent="0.25">
      <c r="A128" s="32" t="s">
        <v>22</v>
      </c>
      <c r="B128" s="32"/>
      <c r="C128" s="32">
        <v>21616174</v>
      </c>
      <c r="D128" s="32" t="s">
        <v>372</v>
      </c>
      <c r="E128" s="32" t="s">
        <v>352</v>
      </c>
      <c r="F128" s="32" t="s">
        <v>26</v>
      </c>
      <c r="G128" s="32" t="s">
        <v>27</v>
      </c>
      <c r="H128" s="32"/>
      <c r="I128" s="32"/>
      <c r="J128" s="32" t="s">
        <v>28</v>
      </c>
      <c r="K128" s="33" t="s">
        <v>373</v>
      </c>
      <c r="L128" s="32"/>
      <c r="M128" s="37">
        <f>4.551*2+4.551*1+5.291*1</f>
        <v>18.944000000000003</v>
      </c>
      <c r="N128" s="34">
        <f t="shared" si="10"/>
        <v>35.857056329497276</v>
      </c>
      <c r="O128" s="33"/>
      <c r="P128" s="32">
        <v>0</v>
      </c>
      <c r="Q128" s="33" t="s">
        <v>374</v>
      </c>
      <c r="R128" s="32">
        <v>84</v>
      </c>
      <c r="S128" s="35">
        <f>R128/90*100</f>
        <v>93.333333333333329</v>
      </c>
      <c r="T128" s="32"/>
      <c r="U128" s="34">
        <f t="shared" si="11"/>
        <v>45.485645063597822</v>
      </c>
      <c r="V128" s="32">
        <v>7</v>
      </c>
      <c r="W128" s="12"/>
    </row>
    <row r="129" spans="1:23" ht="14.25" customHeight="1" x14ac:dyDescent="0.25">
      <c r="A129" s="32" t="s">
        <v>67</v>
      </c>
      <c r="B129" s="32" t="s">
        <v>23</v>
      </c>
      <c r="C129" s="32">
        <v>21616014</v>
      </c>
      <c r="D129" s="32" t="s">
        <v>375</v>
      </c>
      <c r="E129" s="32" t="s">
        <v>352</v>
      </c>
      <c r="F129" s="32" t="s">
        <v>26</v>
      </c>
      <c r="G129" s="32" t="s">
        <v>27</v>
      </c>
      <c r="H129" s="32"/>
      <c r="I129" s="32"/>
      <c r="J129" s="32" t="s">
        <v>28</v>
      </c>
      <c r="K129" s="33" t="s">
        <v>376</v>
      </c>
      <c r="L129" s="32"/>
      <c r="M129" s="32">
        <f>4.257*4</f>
        <v>17.027999999999999</v>
      </c>
      <c r="N129" s="34">
        <f t="shared" si="10"/>
        <v>32.230466384009688</v>
      </c>
      <c r="O129" s="33" t="s">
        <v>79</v>
      </c>
      <c r="P129" s="32"/>
      <c r="Q129" s="33"/>
      <c r="R129" s="32">
        <v>90</v>
      </c>
      <c r="S129" s="38">
        <f>R129/90*100</f>
        <v>100</v>
      </c>
      <c r="T129" s="32" t="s">
        <v>40</v>
      </c>
      <c r="U129" s="34">
        <f t="shared" si="11"/>
        <v>43.784373107207756</v>
      </c>
      <c r="V129" s="32">
        <v>8</v>
      </c>
      <c r="W129" s="12"/>
    </row>
    <row r="130" spans="1:23" ht="14.25" customHeight="1" x14ac:dyDescent="0.25">
      <c r="A130" s="32" t="s">
        <v>22</v>
      </c>
      <c r="B130" s="32"/>
      <c r="C130" s="32">
        <v>21616177</v>
      </c>
      <c r="D130" s="32" t="s">
        <v>377</v>
      </c>
      <c r="E130" s="32" t="s">
        <v>352</v>
      </c>
      <c r="F130" s="32" t="s">
        <v>26</v>
      </c>
      <c r="G130" s="32" t="s">
        <v>27</v>
      </c>
      <c r="H130" s="32"/>
      <c r="I130" s="32"/>
      <c r="J130" s="32" t="s">
        <v>28</v>
      </c>
      <c r="K130" s="33" t="s">
        <v>378</v>
      </c>
      <c r="L130" s="32"/>
      <c r="M130" s="32">
        <f>4.143*2+4.551*2</f>
        <v>17.387999999999998</v>
      </c>
      <c r="N130" s="34">
        <f t="shared" si="10"/>
        <v>32.911871592973952</v>
      </c>
      <c r="O130" s="33"/>
      <c r="P130" s="32">
        <v>0</v>
      </c>
      <c r="Q130" s="33" t="s">
        <v>379</v>
      </c>
      <c r="R130" s="32">
        <v>84</v>
      </c>
      <c r="S130" s="35">
        <f>R130/90*100</f>
        <v>93.333333333333329</v>
      </c>
      <c r="T130" s="32"/>
      <c r="U130" s="34">
        <f t="shared" si="11"/>
        <v>43.129497274379162</v>
      </c>
      <c r="V130" s="32">
        <v>9</v>
      </c>
      <c r="W130" s="12"/>
    </row>
    <row r="131" spans="1:23" ht="14.25" customHeight="1" x14ac:dyDescent="0.25">
      <c r="A131" s="32" t="s">
        <v>41</v>
      </c>
      <c r="B131" s="32" t="s">
        <v>23</v>
      </c>
      <c r="C131" s="32">
        <v>21616007</v>
      </c>
      <c r="D131" s="32" t="s">
        <v>380</v>
      </c>
      <c r="E131" s="32" t="s">
        <v>352</v>
      </c>
      <c r="F131" s="32" t="s">
        <v>26</v>
      </c>
      <c r="G131" s="32" t="s">
        <v>27</v>
      </c>
      <c r="H131" s="32"/>
      <c r="I131" s="32"/>
      <c r="J131" s="32" t="s">
        <v>28</v>
      </c>
      <c r="K131" s="33" t="s">
        <v>381</v>
      </c>
      <c r="L131" s="32"/>
      <c r="M131" s="32">
        <f>1.521*10*0.7+4.879*10*0.1</f>
        <v>15.525999999999998</v>
      </c>
      <c r="N131" s="34">
        <f t="shared" si="10"/>
        <v>29.38749242883101</v>
      </c>
      <c r="O131" s="33" t="s">
        <v>382</v>
      </c>
      <c r="P131" s="32">
        <v>3</v>
      </c>
      <c r="Q131" s="33" t="s">
        <v>383</v>
      </c>
      <c r="R131" s="32">
        <v>87</v>
      </c>
      <c r="S131" s="35">
        <f>R131/89*100</f>
        <v>97.752808988764045</v>
      </c>
      <c r="T131" s="32" t="s">
        <v>31</v>
      </c>
      <c r="U131" s="34">
        <f t="shared" si="11"/>
        <v>41.705499561042338</v>
      </c>
      <c r="V131" s="32">
        <v>10</v>
      </c>
      <c r="W131" s="12"/>
    </row>
    <row r="132" spans="1:23" ht="14.25" customHeight="1" x14ac:dyDescent="0.25">
      <c r="A132" s="32" t="s">
        <v>32</v>
      </c>
      <c r="B132" s="32"/>
      <c r="C132" s="32">
        <v>21616124</v>
      </c>
      <c r="D132" s="32" t="s">
        <v>384</v>
      </c>
      <c r="E132" s="32" t="s">
        <v>352</v>
      </c>
      <c r="F132" s="32" t="s">
        <v>26</v>
      </c>
      <c r="G132" s="32" t="s">
        <v>27</v>
      </c>
      <c r="H132" s="32"/>
      <c r="I132" s="32"/>
      <c r="J132" s="32" t="s">
        <v>28</v>
      </c>
      <c r="K132" s="33" t="s">
        <v>385</v>
      </c>
      <c r="L132" s="32"/>
      <c r="M132" s="32">
        <f>5.462*2+4.964*1</f>
        <v>15.888</v>
      </c>
      <c r="N132" s="34">
        <f t="shared" si="10"/>
        <v>30.07268322228952</v>
      </c>
      <c r="O132" s="33" t="s">
        <v>47</v>
      </c>
      <c r="P132" s="32">
        <v>0</v>
      </c>
      <c r="Q132" s="33" t="s">
        <v>47</v>
      </c>
      <c r="R132" s="32">
        <v>85</v>
      </c>
      <c r="S132" s="34">
        <f>R132/89*100</f>
        <v>95.50561797752809</v>
      </c>
      <c r="T132" s="32" t="s">
        <v>31</v>
      </c>
      <c r="U132" s="34">
        <f t="shared" si="11"/>
        <v>41.249157813786674</v>
      </c>
      <c r="V132" s="32">
        <v>11</v>
      </c>
      <c r="W132" s="12"/>
    </row>
    <row r="133" spans="1:23" ht="14.25" customHeight="1" x14ac:dyDescent="0.25">
      <c r="A133" s="32" t="s">
        <v>32</v>
      </c>
      <c r="B133" s="32" t="s">
        <v>23</v>
      </c>
      <c r="C133" s="32">
        <v>21616118</v>
      </c>
      <c r="D133" s="32" t="s">
        <v>386</v>
      </c>
      <c r="E133" s="32" t="s">
        <v>352</v>
      </c>
      <c r="F133" s="32" t="s">
        <v>26</v>
      </c>
      <c r="G133" s="32" t="s">
        <v>27</v>
      </c>
      <c r="H133" s="32"/>
      <c r="I133" s="32"/>
      <c r="J133" s="32" t="s">
        <v>28</v>
      </c>
      <c r="K133" s="33" t="s">
        <v>387</v>
      </c>
      <c r="L133" s="32"/>
      <c r="M133" s="32">
        <f>7.833*2</f>
        <v>15.666</v>
      </c>
      <c r="N133" s="34">
        <f t="shared" si="10"/>
        <v>29.652483343428226</v>
      </c>
      <c r="O133" s="33" t="s">
        <v>388</v>
      </c>
      <c r="P133" s="32">
        <v>0</v>
      </c>
      <c r="Q133" s="33" t="s">
        <v>47</v>
      </c>
      <c r="R133" s="32">
        <v>86</v>
      </c>
      <c r="S133" s="34">
        <f>R133/89*100</f>
        <v>96.629213483146074</v>
      </c>
      <c r="T133" s="32" t="s">
        <v>31</v>
      </c>
      <c r="U133" s="34">
        <f t="shared" si="11"/>
        <v>41.115245101708879</v>
      </c>
      <c r="V133" s="32">
        <v>12</v>
      </c>
      <c r="W133" s="12"/>
    </row>
    <row r="134" spans="1:23" ht="14.25" customHeight="1" x14ac:dyDescent="0.25">
      <c r="A134" s="32" t="s">
        <v>76</v>
      </c>
      <c r="B134" s="32" t="s">
        <v>23</v>
      </c>
      <c r="C134" s="32">
        <v>21616147</v>
      </c>
      <c r="D134" s="32" t="s">
        <v>389</v>
      </c>
      <c r="E134" s="32" t="s">
        <v>352</v>
      </c>
      <c r="F134" s="32" t="s">
        <v>26</v>
      </c>
      <c r="G134" s="32" t="s">
        <v>27</v>
      </c>
      <c r="H134" s="32"/>
      <c r="I134" s="32"/>
      <c r="J134" s="32" t="s">
        <v>28</v>
      </c>
      <c r="K134" s="33" t="s">
        <v>390</v>
      </c>
      <c r="L134" s="32"/>
      <c r="M134" s="32">
        <f>4.609*2+6</f>
        <v>15.218</v>
      </c>
      <c r="N134" s="34">
        <f t="shared" si="10"/>
        <v>28.804512416717142</v>
      </c>
      <c r="O134" s="33"/>
      <c r="P134" s="32"/>
      <c r="Q134" s="33" t="s">
        <v>391</v>
      </c>
      <c r="R134" s="32">
        <v>87</v>
      </c>
      <c r="S134" s="38">
        <f>R134/90*100</f>
        <v>96.666666666666671</v>
      </c>
      <c r="T134" s="32" t="s">
        <v>40</v>
      </c>
      <c r="U134" s="34">
        <f t="shared" si="11"/>
        <v>40.443609933373722</v>
      </c>
      <c r="V134" s="32">
        <v>13</v>
      </c>
      <c r="W134" s="12"/>
    </row>
    <row r="135" spans="1:23" ht="14.25" customHeight="1" x14ac:dyDescent="0.25">
      <c r="A135" s="32" t="s">
        <v>67</v>
      </c>
      <c r="B135" s="32"/>
      <c r="C135" s="32">
        <v>21616024</v>
      </c>
      <c r="D135" s="32" t="s">
        <v>392</v>
      </c>
      <c r="E135" s="32" t="s">
        <v>352</v>
      </c>
      <c r="F135" s="32" t="s">
        <v>26</v>
      </c>
      <c r="G135" s="32" t="s">
        <v>27</v>
      </c>
      <c r="H135" s="32"/>
      <c r="I135" s="32"/>
      <c r="J135" s="32" t="s">
        <v>28</v>
      </c>
      <c r="K135" s="33" t="s">
        <v>393</v>
      </c>
      <c r="L135" s="32"/>
      <c r="M135" s="32">
        <f>8.065*2</f>
        <v>16.13</v>
      </c>
      <c r="N135" s="34">
        <f t="shared" si="10"/>
        <v>30.530738946093273</v>
      </c>
      <c r="O135" s="33"/>
      <c r="P135" s="32"/>
      <c r="Q135" s="33" t="s">
        <v>394</v>
      </c>
      <c r="R135" s="32">
        <v>80</v>
      </c>
      <c r="S135" s="38">
        <f>R135/90*100</f>
        <v>88.888888888888886</v>
      </c>
      <c r="T135" s="32" t="s">
        <v>31</v>
      </c>
      <c r="U135" s="34">
        <f t="shared" si="11"/>
        <v>40.424591156874619</v>
      </c>
      <c r="V135" s="32">
        <v>14</v>
      </c>
      <c r="W135" s="12"/>
    </row>
    <row r="136" spans="1:23" ht="14.25" customHeight="1" x14ac:dyDescent="0.25">
      <c r="A136" s="32" t="s">
        <v>67</v>
      </c>
      <c r="B136" s="32"/>
      <c r="C136" s="32">
        <v>21616021</v>
      </c>
      <c r="D136" s="32" t="s">
        <v>395</v>
      </c>
      <c r="E136" s="32" t="s">
        <v>352</v>
      </c>
      <c r="F136" s="32" t="s">
        <v>26</v>
      </c>
      <c r="G136" s="32" t="s">
        <v>27</v>
      </c>
      <c r="H136" s="32"/>
      <c r="I136" s="32"/>
      <c r="J136" s="32" t="s">
        <v>28</v>
      </c>
      <c r="K136" s="36" t="s">
        <v>396</v>
      </c>
      <c r="L136" s="32"/>
      <c r="M136" s="32">
        <f>4.013*2+2.455*2</f>
        <v>12.936</v>
      </c>
      <c r="N136" s="34">
        <f t="shared" si="10"/>
        <v>24.485160508782556</v>
      </c>
      <c r="O136" s="33"/>
      <c r="P136" s="32"/>
      <c r="Q136" s="33"/>
      <c r="R136" s="32">
        <v>85</v>
      </c>
      <c r="S136" s="38">
        <f>R136/90*100</f>
        <v>94.444444444444443</v>
      </c>
      <c r="T136" s="32" t="s">
        <v>31</v>
      </c>
      <c r="U136" s="34">
        <f t="shared" si="11"/>
        <v>36.588128407026048</v>
      </c>
      <c r="V136" s="32">
        <v>15</v>
      </c>
      <c r="W136" s="12"/>
    </row>
    <row r="137" spans="1:23" ht="14.25" customHeight="1" x14ac:dyDescent="0.25">
      <c r="A137" s="32" t="s">
        <v>81</v>
      </c>
      <c r="B137" s="32" t="s">
        <v>23</v>
      </c>
      <c r="C137" s="32">
        <v>21616057</v>
      </c>
      <c r="D137" s="32" t="s">
        <v>397</v>
      </c>
      <c r="E137" s="32" t="s">
        <v>352</v>
      </c>
      <c r="F137" s="32" t="s">
        <v>26</v>
      </c>
      <c r="G137" s="32" t="s">
        <v>27</v>
      </c>
      <c r="H137" s="32"/>
      <c r="I137" s="32"/>
      <c r="J137" s="32" t="s">
        <v>28</v>
      </c>
      <c r="K137" s="33" t="s">
        <v>398</v>
      </c>
      <c r="L137" s="32"/>
      <c r="M137" s="32">
        <f>6.044*2</f>
        <v>12.087999999999999</v>
      </c>
      <c r="N137" s="34">
        <f t="shared" si="10"/>
        <v>22.880072683222288</v>
      </c>
      <c r="O137" s="33"/>
      <c r="P137" s="32"/>
      <c r="Q137" s="33"/>
      <c r="R137" s="39" t="s">
        <v>235</v>
      </c>
      <c r="S137" s="38">
        <f>R137/90*100</f>
        <v>94.444444444444443</v>
      </c>
      <c r="T137" s="32" t="s">
        <v>31</v>
      </c>
      <c r="U137" s="34">
        <f t="shared" si="11"/>
        <v>35.30405814657783</v>
      </c>
      <c r="V137" s="32">
        <v>16</v>
      </c>
      <c r="W137" s="12"/>
    </row>
    <row r="138" spans="1:23" ht="14.25" customHeight="1" x14ac:dyDescent="0.25">
      <c r="A138" s="32" t="s">
        <v>73</v>
      </c>
      <c r="B138" s="32" t="s">
        <v>23</v>
      </c>
      <c r="C138" s="32">
        <v>21616071</v>
      </c>
      <c r="D138" s="32" t="s">
        <v>399</v>
      </c>
      <c r="E138" s="32" t="s">
        <v>352</v>
      </c>
      <c r="F138" s="32" t="s">
        <v>26</v>
      </c>
      <c r="G138" s="32" t="s">
        <v>27</v>
      </c>
      <c r="H138" s="32"/>
      <c r="I138" s="32"/>
      <c r="J138" s="32" t="s">
        <v>28</v>
      </c>
      <c r="K138" s="33" t="s">
        <v>400</v>
      </c>
      <c r="L138" s="32"/>
      <c r="M138" s="32">
        <f>5.291*2</f>
        <v>10.582000000000001</v>
      </c>
      <c r="N138" s="34">
        <f t="shared" si="10"/>
        <v>20.029527559055119</v>
      </c>
      <c r="O138" s="33"/>
      <c r="P138" s="32">
        <v>0</v>
      </c>
      <c r="Q138" s="33"/>
      <c r="R138" s="32">
        <v>90</v>
      </c>
      <c r="S138" s="35">
        <f>(R138/90)*100</f>
        <v>100</v>
      </c>
      <c r="T138" s="32" t="s">
        <v>40</v>
      </c>
      <c r="U138" s="34">
        <f t="shared" si="11"/>
        <v>34.023622047244096</v>
      </c>
      <c r="V138" s="32">
        <v>17</v>
      </c>
      <c r="W138" s="12"/>
    </row>
    <row r="139" spans="1:23" ht="14.25" customHeight="1" x14ac:dyDescent="0.25">
      <c r="A139" s="32" t="s">
        <v>59</v>
      </c>
      <c r="B139" s="32"/>
      <c r="C139" s="32">
        <v>21616097</v>
      </c>
      <c r="D139" s="32" t="s">
        <v>401</v>
      </c>
      <c r="E139" s="32" t="s">
        <v>352</v>
      </c>
      <c r="F139" s="32" t="s">
        <v>26</v>
      </c>
      <c r="G139" s="32" t="s">
        <v>27</v>
      </c>
      <c r="H139" s="32"/>
      <c r="I139" s="32"/>
      <c r="J139" s="32" t="s">
        <v>28</v>
      </c>
      <c r="K139" s="33" t="s">
        <v>402</v>
      </c>
      <c r="L139" s="32"/>
      <c r="M139" s="32">
        <f>6+2.173*2</f>
        <v>10.346</v>
      </c>
      <c r="N139" s="34">
        <f t="shared" si="10"/>
        <v>19.582828588734099</v>
      </c>
      <c r="O139" s="33" t="s">
        <v>403</v>
      </c>
      <c r="P139" s="32">
        <v>0</v>
      </c>
      <c r="Q139" s="33" t="s">
        <v>404</v>
      </c>
      <c r="R139" s="32">
        <v>88</v>
      </c>
      <c r="S139" s="35">
        <f>R139/90*100</f>
        <v>97.777777777777771</v>
      </c>
      <c r="T139" s="32" t="s">
        <v>40</v>
      </c>
      <c r="U139" s="34">
        <f t="shared" si="11"/>
        <v>33.266262870987283</v>
      </c>
      <c r="V139" s="32">
        <v>18</v>
      </c>
      <c r="W139" s="12"/>
    </row>
    <row r="140" spans="1:23" ht="14.25" customHeight="1" x14ac:dyDescent="0.25">
      <c r="A140" s="32" t="s">
        <v>76</v>
      </c>
      <c r="B140" s="32"/>
      <c r="C140" s="32">
        <v>21616163</v>
      </c>
      <c r="D140" s="32" t="s">
        <v>405</v>
      </c>
      <c r="E140" s="32" t="s">
        <v>352</v>
      </c>
      <c r="F140" s="32" t="s">
        <v>26</v>
      </c>
      <c r="G140" s="32" t="s">
        <v>27</v>
      </c>
      <c r="H140" s="32"/>
      <c r="I140" s="32"/>
      <c r="J140" s="32" t="s">
        <v>28</v>
      </c>
      <c r="K140" s="33" t="s">
        <v>406</v>
      </c>
      <c r="L140" s="32"/>
      <c r="M140" s="32">
        <f>4.609*2</f>
        <v>9.218</v>
      </c>
      <c r="N140" s="34">
        <f t="shared" si="10"/>
        <v>17.447758933979408</v>
      </c>
      <c r="O140" s="33" t="s">
        <v>407</v>
      </c>
      <c r="P140" s="32">
        <v>3</v>
      </c>
      <c r="Q140" s="33" t="s">
        <v>408</v>
      </c>
      <c r="R140" s="32">
        <v>88</v>
      </c>
      <c r="S140" s="38">
        <f>R140/90*100</f>
        <v>97.777777777777771</v>
      </c>
      <c r="T140" s="32" t="s">
        <v>31</v>
      </c>
      <c r="U140" s="34">
        <f t="shared" si="11"/>
        <v>32.158207147183525</v>
      </c>
      <c r="V140" s="32">
        <v>19</v>
      </c>
      <c r="W140" s="12"/>
    </row>
    <row r="141" spans="1:23" ht="14.25" customHeight="1" x14ac:dyDescent="0.25">
      <c r="A141" s="32" t="s">
        <v>22</v>
      </c>
      <c r="B141" s="32"/>
      <c r="C141" s="32">
        <v>21616182</v>
      </c>
      <c r="D141" s="32" t="s">
        <v>409</v>
      </c>
      <c r="E141" s="32" t="s">
        <v>352</v>
      </c>
      <c r="F141" s="32" t="s">
        <v>26</v>
      </c>
      <c r="G141" s="32" t="s">
        <v>27</v>
      </c>
      <c r="H141" s="32"/>
      <c r="I141" s="32"/>
      <c r="J141" s="32" t="s">
        <v>28</v>
      </c>
      <c r="K141" s="33" t="s">
        <v>410</v>
      </c>
      <c r="L141" s="32"/>
      <c r="M141" s="32">
        <f>2*4.984</f>
        <v>9.968</v>
      </c>
      <c r="N141" s="34">
        <f t="shared" si="10"/>
        <v>18.867353119321624</v>
      </c>
      <c r="O141" s="33"/>
      <c r="P141" s="32">
        <v>0</v>
      </c>
      <c r="Q141" s="33" t="s">
        <v>411</v>
      </c>
      <c r="R141" s="32">
        <v>84</v>
      </c>
      <c r="S141" s="35">
        <f>R141/90*100</f>
        <v>93.333333333333329</v>
      </c>
      <c r="T141" s="32"/>
      <c r="U141" s="34">
        <f t="shared" si="11"/>
        <v>31.893882495457301</v>
      </c>
      <c r="V141" s="32">
        <v>20</v>
      </c>
      <c r="W141" s="12"/>
    </row>
    <row r="142" spans="1:23" ht="14.25" customHeight="1" x14ac:dyDescent="0.25">
      <c r="A142" s="32" t="s">
        <v>32</v>
      </c>
      <c r="B142" s="32" t="s">
        <v>23</v>
      </c>
      <c r="C142" s="32" t="s">
        <v>412</v>
      </c>
      <c r="D142" s="32" t="s">
        <v>413</v>
      </c>
      <c r="E142" s="32" t="s">
        <v>352</v>
      </c>
      <c r="F142" s="32" t="s">
        <v>26</v>
      </c>
      <c r="G142" s="32" t="s">
        <v>27</v>
      </c>
      <c r="H142" s="32"/>
      <c r="I142" s="32"/>
      <c r="J142" s="32" t="s">
        <v>28</v>
      </c>
      <c r="K142" s="33" t="s">
        <v>414</v>
      </c>
      <c r="L142" s="32"/>
      <c r="M142" s="32">
        <f>4.078*2</f>
        <v>8.1560000000000006</v>
      </c>
      <c r="N142" s="34">
        <f t="shared" si="10"/>
        <v>15.437613567534827</v>
      </c>
      <c r="O142" s="33" t="s">
        <v>415</v>
      </c>
      <c r="P142" s="32">
        <v>8</v>
      </c>
      <c r="Q142" s="33" t="s">
        <v>416</v>
      </c>
      <c r="R142" s="32">
        <v>86</v>
      </c>
      <c r="S142" s="34">
        <f>R142/89*100</f>
        <v>96.629213483146074</v>
      </c>
      <c r="T142" s="32" t="s">
        <v>31</v>
      </c>
      <c r="U142" s="34">
        <f t="shared" si="11"/>
        <v>31.343349280994154</v>
      </c>
      <c r="V142" s="32">
        <v>21</v>
      </c>
      <c r="W142" s="12"/>
    </row>
    <row r="143" spans="1:23" ht="14.25" customHeight="1" x14ac:dyDescent="0.25">
      <c r="A143" s="32" t="s">
        <v>67</v>
      </c>
      <c r="B143" s="32"/>
      <c r="C143" s="32">
        <v>21616030</v>
      </c>
      <c r="D143" s="32" t="s">
        <v>417</v>
      </c>
      <c r="E143" s="32" t="s">
        <v>352</v>
      </c>
      <c r="F143" s="32" t="s">
        <v>26</v>
      </c>
      <c r="G143" s="32" t="s">
        <v>27</v>
      </c>
      <c r="H143" s="32"/>
      <c r="I143" s="32"/>
      <c r="J143" s="32" t="s">
        <v>28</v>
      </c>
      <c r="K143" s="33" t="s">
        <v>418</v>
      </c>
      <c r="L143" s="32"/>
      <c r="M143" s="32">
        <f>4.354*2</f>
        <v>8.7080000000000002</v>
      </c>
      <c r="N143" s="34">
        <f t="shared" si="10"/>
        <v>16.482434887946699</v>
      </c>
      <c r="O143" s="33"/>
      <c r="P143" s="32"/>
      <c r="Q143" s="33"/>
      <c r="R143" s="32">
        <v>90</v>
      </c>
      <c r="S143" s="38">
        <f>R143/90*100</f>
        <v>100</v>
      </c>
      <c r="T143" s="32" t="s">
        <v>31</v>
      </c>
      <c r="U143" s="34">
        <f t="shared" si="11"/>
        <v>31.18594791035736</v>
      </c>
      <c r="V143" s="32">
        <v>22</v>
      </c>
      <c r="W143" s="12"/>
    </row>
    <row r="144" spans="1:23" ht="14.25" customHeight="1" x14ac:dyDescent="0.25">
      <c r="A144" s="32" t="s">
        <v>81</v>
      </c>
      <c r="B144" s="32"/>
      <c r="C144" s="32">
        <v>21616055</v>
      </c>
      <c r="D144" s="32" t="s">
        <v>419</v>
      </c>
      <c r="E144" s="32" t="s">
        <v>352</v>
      </c>
      <c r="F144" s="32" t="s">
        <v>26</v>
      </c>
      <c r="G144" s="32" t="s">
        <v>27</v>
      </c>
      <c r="H144" s="32"/>
      <c r="I144" s="32"/>
      <c r="J144" s="32" t="s">
        <v>28</v>
      </c>
      <c r="K144" s="33" t="s">
        <v>420</v>
      </c>
      <c r="L144" s="32"/>
      <c r="M144" s="32">
        <f>4.381*2</f>
        <v>8.7620000000000005</v>
      </c>
      <c r="N144" s="34">
        <f t="shared" si="10"/>
        <v>16.584645669291341</v>
      </c>
      <c r="O144" s="33" t="s">
        <v>421</v>
      </c>
      <c r="P144" s="32">
        <v>2</v>
      </c>
      <c r="Q144" s="33" t="s">
        <v>422</v>
      </c>
      <c r="R144" s="39" t="s">
        <v>235</v>
      </c>
      <c r="S144" s="38">
        <f>R144/90*100</f>
        <v>94.444444444444443</v>
      </c>
      <c r="T144" s="32" t="s">
        <v>40</v>
      </c>
      <c r="U144" s="34">
        <f t="shared" si="11"/>
        <v>30.667716535433076</v>
      </c>
      <c r="V144" s="32">
        <v>23</v>
      </c>
      <c r="W144" s="12"/>
    </row>
    <row r="145" spans="1:24" ht="14.25" customHeight="1" x14ac:dyDescent="0.25">
      <c r="A145" s="32" t="s">
        <v>73</v>
      </c>
      <c r="B145" s="32"/>
      <c r="C145" s="32">
        <v>21616082</v>
      </c>
      <c r="D145" s="32" t="s">
        <v>423</v>
      </c>
      <c r="E145" s="32" t="s">
        <v>352</v>
      </c>
      <c r="F145" s="32" t="s">
        <v>424</v>
      </c>
      <c r="G145" s="32" t="s">
        <v>27</v>
      </c>
      <c r="H145" s="32"/>
      <c r="I145" s="32"/>
      <c r="J145" s="32" t="s">
        <v>28</v>
      </c>
      <c r="K145" s="33" t="s">
        <v>425</v>
      </c>
      <c r="L145" s="40"/>
      <c r="M145" s="32">
        <f>3.878*2</f>
        <v>7.7560000000000002</v>
      </c>
      <c r="N145" s="34">
        <f t="shared" si="10"/>
        <v>14.680496668685644</v>
      </c>
      <c r="O145" s="33" t="s">
        <v>426</v>
      </c>
      <c r="P145" s="32">
        <v>3</v>
      </c>
      <c r="Q145" s="33" t="s">
        <v>363</v>
      </c>
      <c r="R145" s="32">
        <v>85</v>
      </c>
      <c r="S145" s="35">
        <f>(R145/90)*100</f>
        <v>94.444444444444443</v>
      </c>
      <c r="T145" s="32" t="s">
        <v>40</v>
      </c>
      <c r="U145" s="34">
        <f t="shared" si="11"/>
        <v>29.344397334948518</v>
      </c>
      <c r="V145" s="32">
        <v>24</v>
      </c>
      <c r="W145" s="12"/>
    </row>
    <row r="146" spans="1:24" ht="14.25" customHeight="1" x14ac:dyDescent="0.25">
      <c r="A146" s="32" t="s">
        <v>178</v>
      </c>
      <c r="B146" s="32" t="s">
        <v>23</v>
      </c>
      <c r="C146" s="39">
        <v>21616188</v>
      </c>
      <c r="D146" s="32" t="s">
        <v>427</v>
      </c>
      <c r="E146" s="32" t="s">
        <v>352</v>
      </c>
      <c r="F146" s="32" t="s">
        <v>26</v>
      </c>
      <c r="G146" s="32" t="s">
        <v>27</v>
      </c>
      <c r="H146" s="32"/>
      <c r="I146" s="32"/>
      <c r="J146" s="32" t="s">
        <v>61</v>
      </c>
      <c r="K146" s="33" t="s">
        <v>428</v>
      </c>
      <c r="L146" s="32"/>
      <c r="M146" s="32">
        <f>2.016*2+3</f>
        <v>7.032</v>
      </c>
      <c r="N146" s="34">
        <f t="shared" si="10"/>
        <v>13.310115081768625</v>
      </c>
      <c r="O146" s="33" t="s">
        <v>429</v>
      </c>
      <c r="P146" s="32">
        <v>0</v>
      </c>
      <c r="Q146" s="33" t="s">
        <v>430</v>
      </c>
      <c r="R146" s="32">
        <v>88</v>
      </c>
      <c r="S146" s="35">
        <f>R146/90*100</f>
        <v>97.777777777777771</v>
      </c>
      <c r="T146" s="32" t="s">
        <v>31</v>
      </c>
      <c r="U146" s="34">
        <f t="shared" si="11"/>
        <v>28.248092065414902</v>
      </c>
      <c r="V146" s="32">
        <v>25</v>
      </c>
      <c r="W146" s="12"/>
    </row>
    <row r="147" spans="1:24" ht="14.25" customHeight="1" x14ac:dyDescent="0.25">
      <c r="A147" s="32" t="s">
        <v>41</v>
      </c>
      <c r="B147" s="32"/>
      <c r="C147" s="32">
        <v>21616010</v>
      </c>
      <c r="D147" s="32" t="s">
        <v>431</v>
      </c>
      <c r="E147" s="32" t="s">
        <v>352</v>
      </c>
      <c r="F147" s="32" t="s">
        <v>26</v>
      </c>
      <c r="G147" s="32" t="s">
        <v>27</v>
      </c>
      <c r="H147" s="32"/>
      <c r="I147" s="32"/>
      <c r="J147" s="32" t="s">
        <v>28</v>
      </c>
      <c r="K147" s="33" t="s">
        <v>432</v>
      </c>
      <c r="L147" s="32"/>
      <c r="M147" s="32">
        <f>3.352*2</f>
        <v>6.7039999999999997</v>
      </c>
      <c r="N147" s="34">
        <f t="shared" si="10"/>
        <v>12.689279224712294</v>
      </c>
      <c r="O147" s="33" t="s">
        <v>47</v>
      </c>
      <c r="P147" s="32"/>
      <c r="Q147" s="33" t="s">
        <v>433</v>
      </c>
      <c r="R147" s="32">
        <v>86</v>
      </c>
      <c r="S147" s="35">
        <f>R147/89*100</f>
        <v>96.629213483146074</v>
      </c>
      <c r="T147" s="32" t="s">
        <v>31</v>
      </c>
      <c r="U147" s="34">
        <f t="shared" si="11"/>
        <v>27.544681806736129</v>
      </c>
      <c r="V147" s="32">
        <v>26</v>
      </c>
      <c r="W147" s="12"/>
    </row>
    <row r="148" spans="1:24" ht="14.25" customHeight="1" x14ac:dyDescent="0.25">
      <c r="A148" s="32" t="s">
        <v>73</v>
      </c>
      <c r="B148" s="32"/>
      <c r="C148" s="32">
        <v>21616069</v>
      </c>
      <c r="D148" s="32" t="s">
        <v>434</v>
      </c>
      <c r="E148" s="32" t="s">
        <v>352</v>
      </c>
      <c r="F148" s="32" t="s">
        <v>26</v>
      </c>
      <c r="G148" s="32" t="s">
        <v>27</v>
      </c>
      <c r="H148" s="32"/>
      <c r="I148" s="32"/>
      <c r="J148" s="32" t="s">
        <v>28</v>
      </c>
      <c r="K148" s="33" t="s">
        <v>435</v>
      </c>
      <c r="L148" s="32"/>
      <c r="M148" s="32">
        <f>1.798*2+3</f>
        <v>6.5960000000000001</v>
      </c>
      <c r="N148" s="34">
        <f t="shared" si="10"/>
        <v>12.484857662023016</v>
      </c>
      <c r="O148" s="33"/>
      <c r="P148" s="32">
        <v>0</v>
      </c>
      <c r="Q148" s="33" t="s">
        <v>436</v>
      </c>
      <c r="R148" s="32">
        <v>85</v>
      </c>
      <c r="S148" s="35">
        <f>(R148/90)*100</f>
        <v>94.444444444444443</v>
      </c>
      <c r="T148" s="32" t="s">
        <v>31</v>
      </c>
      <c r="U148" s="34">
        <f t="shared" si="11"/>
        <v>26.987886129618413</v>
      </c>
      <c r="V148" s="32">
        <v>27</v>
      </c>
      <c r="W148" s="12"/>
    </row>
    <row r="149" spans="1:24" ht="14.25" customHeight="1" x14ac:dyDescent="0.25">
      <c r="A149" s="32" t="s">
        <v>41</v>
      </c>
      <c r="B149" s="32"/>
      <c r="C149" s="32">
        <v>21616005</v>
      </c>
      <c r="D149" s="32" t="s">
        <v>437</v>
      </c>
      <c r="E149" s="32" t="s">
        <v>352</v>
      </c>
      <c r="F149" s="32" t="s">
        <v>26</v>
      </c>
      <c r="G149" s="32" t="s">
        <v>27</v>
      </c>
      <c r="H149" s="32"/>
      <c r="I149" s="32"/>
      <c r="J149" s="32" t="s">
        <v>28</v>
      </c>
      <c r="K149" s="33" t="s">
        <v>438</v>
      </c>
      <c r="L149" s="32"/>
      <c r="M149" s="32">
        <v>6</v>
      </c>
      <c r="N149" s="34">
        <f t="shared" si="10"/>
        <v>11.356753482737734</v>
      </c>
      <c r="O149" s="33" t="s">
        <v>439</v>
      </c>
      <c r="P149" s="32"/>
      <c r="Q149" s="33" t="s">
        <v>440</v>
      </c>
      <c r="R149" s="32">
        <v>85</v>
      </c>
      <c r="S149" s="35">
        <f>R149/89*100</f>
        <v>95.50561797752809</v>
      </c>
      <c r="T149" s="32" t="s">
        <v>40</v>
      </c>
      <c r="U149" s="34">
        <f t="shared" si="11"/>
        <v>26.276414022145243</v>
      </c>
      <c r="V149" s="32">
        <v>28</v>
      </c>
      <c r="W149" s="12"/>
    </row>
    <row r="150" spans="1:24" ht="14.25" customHeight="1" x14ac:dyDescent="0.25">
      <c r="A150" s="32" t="s">
        <v>22</v>
      </c>
      <c r="B150" s="32"/>
      <c r="C150" s="32">
        <v>21616178</v>
      </c>
      <c r="D150" s="32" t="s">
        <v>441</v>
      </c>
      <c r="E150" s="32" t="s">
        <v>352</v>
      </c>
      <c r="F150" s="32" t="s">
        <v>26</v>
      </c>
      <c r="G150" s="32" t="s">
        <v>27</v>
      </c>
      <c r="H150" s="32"/>
      <c r="I150" s="32"/>
      <c r="J150" s="32" t="s">
        <v>28</v>
      </c>
      <c r="K150" s="33" t="s">
        <v>442</v>
      </c>
      <c r="L150" s="32"/>
      <c r="M150" s="32">
        <v>6</v>
      </c>
      <c r="N150" s="34">
        <f t="shared" si="10"/>
        <v>11.356753482737734</v>
      </c>
      <c r="O150" s="33"/>
      <c r="P150" s="32">
        <v>0</v>
      </c>
      <c r="Q150" s="33"/>
      <c r="R150" s="32">
        <v>84</v>
      </c>
      <c r="S150" s="35">
        <f>R150/90*100</f>
        <v>93.333333333333329</v>
      </c>
      <c r="T150" s="32"/>
      <c r="U150" s="34">
        <f t="shared" si="11"/>
        <v>25.885402786190188</v>
      </c>
      <c r="V150" s="32">
        <v>29</v>
      </c>
      <c r="W150" s="12"/>
    </row>
    <row r="151" spans="1:24" ht="14.25" customHeight="1" x14ac:dyDescent="0.25">
      <c r="A151" s="32" t="s">
        <v>76</v>
      </c>
      <c r="B151" s="32"/>
      <c r="C151" s="32">
        <v>21616158</v>
      </c>
      <c r="D151" s="32" t="s">
        <v>443</v>
      </c>
      <c r="E151" s="32" t="s">
        <v>352</v>
      </c>
      <c r="F151" s="32" t="s">
        <v>26</v>
      </c>
      <c r="G151" s="32" t="s">
        <v>27</v>
      </c>
      <c r="H151" s="32"/>
      <c r="I151" s="32"/>
      <c r="J151" s="32" t="s">
        <v>28</v>
      </c>
      <c r="K151" s="33" t="s">
        <v>444</v>
      </c>
      <c r="L151" s="32"/>
      <c r="M151" s="32">
        <f>2.863*2</f>
        <v>5.726</v>
      </c>
      <c r="N151" s="34">
        <f t="shared" si="10"/>
        <v>10.838128407026044</v>
      </c>
      <c r="O151" s="33" t="s">
        <v>445</v>
      </c>
      <c r="P151" s="32">
        <v>3</v>
      </c>
      <c r="Q151" s="33"/>
      <c r="R151" s="32">
        <v>83</v>
      </c>
      <c r="S151" s="38">
        <f>R151/90*100</f>
        <v>92.222222222222229</v>
      </c>
      <c r="T151" s="32" t="s">
        <v>31</v>
      </c>
      <c r="U151" s="34">
        <f t="shared" si="11"/>
        <v>25.870502725620838</v>
      </c>
      <c r="V151" s="32">
        <v>30</v>
      </c>
      <c r="W151" s="12"/>
    </row>
    <row r="152" spans="1:24" ht="14.25" customHeight="1" x14ac:dyDescent="0.25">
      <c r="A152" s="32" t="s">
        <v>76</v>
      </c>
      <c r="B152" s="32"/>
      <c r="C152" s="32">
        <v>21616151</v>
      </c>
      <c r="D152" s="32" t="s">
        <v>446</v>
      </c>
      <c r="E152" s="32" t="s">
        <v>352</v>
      </c>
      <c r="F152" s="32" t="s">
        <v>26</v>
      </c>
      <c r="G152" s="32" t="s">
        <v>27</v>
      </c>
      <c r="H152" s="32"/>
      <c r="I152" s="32"/>
      <c r="J152" s="32" t="s">
        <v>28</v>
      </c>
      <c r="K152" s="33" t="s">
        <v>447</v>
      </c>
      <c r="L152" s="32"/>
      <c r="M152" s="32">
        <f>2.373*2</f>
        <v>4.7460000000000004</v>
      </c>
      <c r="N152" s="34">
        <f t="shared" si="10"/>
        <v>8.9831920048455487</v>
      </c>
      <c r="O152" s="33" t="s">
        <v>448</v>
      </c>
      <c r="P152" s="32">
        <v>3</v>
      </c>
      <c r="Q152" s="33" t="s">
        <v>449</v>
      </c>
      <c r="R152" s="32">
        <v>86</v>
      </c>
      <c r="S152" s="38">
        <f>R152/90*100</f>
        <v>95.555555555555557</v>
      </c>
      <c r="T152" s="32" t="s">
        <v>31</v>
      </c>
      <c r="U152" s="34">
        <f t="shared" si="11"/>
        <v>24.986553603876441</v>
      </c>
      <c r="V152" s="32">
        <v>31</v>
      </c>
      <c r="W152" s="12"/>
    </row>
    <row r="153" spans="1:24" ht="14.25" customHeight="1" x14ac:dyDescent="0.25">
      <c r="A153" s="32" t="s">
        <v>32</v>
      </c>
      <c r="B153" s="32"/>
      <c r="C153" s="32" t="s">
        <v>450</v>
      </c>
      <c r="D153" s="32" t="s">
        <v>451</v>
      </c>
      <c r="E153" s="32" t="s">
        <v>352</v>
      </c>
      <c r="F153" s="32" t="s">
        <v>26</v>
      </c>
      <c r="G153" s="32" t="s">
        <v>27</v>
      </c>
      <c r="H153" s="32"/>
      <c r="I153" s="32"/>
      <c r="J153" s="32" t="s">
        <v>28</v>
      </c>
      <c r="K153" s="33" t="s">
        <v>452</v>
      </c>
      <c r="L153" s="32"/>
      <c r="M153" s="32">
        <v>4.9640000000000004</v>
      </c>
      <c r="N153" s="34">
        <f t="shared" si="10"/>
        <v>9.3958207147183526</v>
      </c>
      <c r="O153" s="33"/>
      <c r="P153" s="32">
        <v>0</v>
      </c>
      <c r="Q153" s="33"/>
      <c r="R153" s="32">
        <v>85</v>
      </c>
      <c r="S153" s="34">
        <f>R153/89*100</f>
        <v>95.50561797752809</v>
      </c>
      <c r="T153" s="32" t="s">
        <v>31</v>
      </c>
      <c r="U153" s="34">
        <f t="shared" si="11"/>
        <v>24.707667807729738</v>
      </c>
      <c r="V153" s="32">
        <v>32</v>
      </c>
      <c r="W153" s="12"/>
    </row>
    <row r="154" spans="1:24" ht="14.25" customHeight="1" x14ac:dyDescent="0.25">
      <c r="A154" s="32" t="s">
        <v>178</v>
      </c>
      <c r="B154" s="32"/>
      <c r="C154" s="39">
        <v>21616187</v>
      </c>
      <c r="D154" s="32" t="s">
        <v>453</v>
      </c>
      <c r="E154" s="32" t="s">
        <v>352</v>
      </c>
      <c r="F154" s="32" t="s">
        <v>26</v>
      </c>
      <c r="G154" s="32" t="s">
        <v>27</v>
      </c>
      <c r="H154" s="32"/>
      <c r="I154" s="32"/>
      <c r="J154" s="32" t="s">
        <v>28</v>
      </c>
      <c r="K154" s="33" t="s">
        <v>454</v>
      </c>
      <c r="L154" s="32"/>
      <c r="M154" s="37">
        <f>2.333*2</f>
        <v>4.6660000000000004</v>
      </c>
      <c r="N154" s="34">
        <f t="shared" si="10"/>
        <v>8.8317686250757124</v>
      </c>
      <c r="O154" s="33"/>
      <c r="P154" s="32">
        <v>0</v>
      </c>
      <c r="Q154" s="33" t="s">
        <v>455</v>
      </c>
      <c r="R154" s="32">
        <v>88</v>
      </c>
      <c r="S154" s="35">
        <f>R154/90*100</f>
        <v>97.777777777777771</v>
      </c>
      <c r="T154" s="32" t="s">
        <v>40</v>
      </c>
      <c r="U154" s="34">
        <f t="shared" si="11"/>
        <v>24.665414900060572</v>
      </c>
      <c r="V154" s="32">
        <v>33</v>
      </c>
      <c r="W154" s="12"/>
    </row>
    <row r="155" spans="1:24" ht="14.25" customHeight="1" x14ac:dyDescent="0.25">
      <c r="A155" s="32" t="s">
        <v>32</v>
      </c>
      <c r="B155" s="32"/>
      <c r="C155" s="32">
        <v>21616122</v>
      </c>
      <c r="D155" s="32" t="s">
        <v>456</v>
      </c>
      <c r="E155" s="32" t="s">
        <v>352</v>
      </c>
      <c r="F155" s="32" t="s">
        <v>26</v>
      </c>
      <c r="G155" s="32" t="s">
        <v>27</v>
      </c>
      <c r="H155" s="32"/>
      <c r="I155" s="32"/>
      <c r="J155" s="32" t="s">
        <v>28</v>
      </c>
      <c r="K155" s="33" t="s">
        <v>457</v>
      </c>
      <c r="L155" s="32"/>
      <c r="M155" s="32">
        <f>1.766*2+1.381</f>
        <v>4.9130000000000003</v>
      </c>
      <c r="N155" s="34">
        <f t="shared" si="10"/>
        <v>9.2992883101150827</v>
      </c>
      <c r="O155" s="33" t="s">
        <v>47</v>
      </c>
      <c r="P155" s="32">
        <v>0</v>
      </c>
      <c r="Q155" s="33" t="s">
        <v>47</v>
      </c>
      <c r="R155" s="32">
        <v>85</v>
      </c>
      <c r="S155" s="34">
        <f>R155/89*100</f>
        <v>95.50561797752809</v>
      </c>
      <c r="T155" s="32" t="s">
        <v>40</v>
      </c>
      <c r="U155" s="34">
        <f t="shared" si="11"/>
        <v>24.630441884047123</v>
      </c>
      <c r="V155" s="32">
        <v>34</v>
      </c>
      <c r="W155" s="12"/>
    </row>
    <row r="156" spans="1:24" ht="14.25" customHeight="1" x14ac:dyDescent="0.25">
      <c r="A156" s="32" t="s">
        <v>59</v>
      </c>
      <c r="B156" s="32"/>
      <c r="C156" s="32">
        <v>21616101</v>
      </c>
      <c r="D156" s="32" t="s">
        <v>458</v>
      </c>
      <c r="E156" s="32" t="s">
        <v>352</v>
      </c>
      <c r="F156" s="32" t="s">
        <v>26</v>
      </c>
      <c r="G156" s="32" t="s">
        <v>27</v>
      </c>
      <c r="H156" s="32"/>
      <c r="I156" s="32"/>
      <c r="J156" s="32" t="s">
        <v>28</v>
      </c>
      <c r="K156" s="33" t="s">
        <v>459</v>
      </c>
      <c r="L156" s="32"/>
      <c r="M156" s="32">
        <v>3.2679999999999998</v>
      </c>
      <c r="N156" s="34">
        <f t="shared" si="10"/>
        <v>6.1856450635978186</v>
      </c>
      <c r="O156" s="33" t="s">
        <v>460</v>
      </c>
      <c r="P156" s="32">
        <v>0</v>
      </c>
      <c r="Q156" s="33" t="s">
        <v>461</v>
      </c>
      <c r="R156" s="32">
        <v>89</v>
      </c>
      <c r="S156" s="35">
        <f>R156/90*100</f>
        <v>98.888888888888886</v>
      </c>
      <c r="T156" s="32" t="s">
        <v>31</v>
      </c>
      <c r="U156" s="34">
        <f t="shared" si="11"/>
        <v>22.748516050878255</v>
      </c>
      <c r="V156" s="32">
        <v>35</v>
      </c>
      <c r="W156" s="12"/>
    </row>
    <row r="157" spans="1:24" ht="14.25" customHeight="1" x14ac:dyDescent="0.25">
      <c r="A157" s="32" t="s">
        <v>32</v>
      </c>
      <c r="B157" s="32"/>
      <c r="C157" s="32">
        <v>21616131</v>
      </c>
      <c r="D157" s="32" t="s">
        <v>462</v>
      </c>
      <c r="E157" s="32" t="s">
        <v>463</v>
      </c>
      <c r="F157" s="32" t="s">
        <v>26</v>
      </c>
      <c r="G157" s="32" t="s">
        <v>27</v>
      </c>
      <c r="H157" s="32"/>
      <c r="I157" s="32"/>
      <c r="J157" s="32" t="s">
        <v>28</v>
      </c>
      <c r="K157" s="33" t="s">
        <v>464</v>
      </c>
      <c r="L157" s="32"/>
      <c r="M157" s="32">
        <v>3.4990000000000001</v>
      </c>
      <c r="N157" s="34">
        <f t="shared" si="10"/>
        <v>6.6228800726832224</v>
      </c>
      <c r="O157" s="33" t="s">
        <v>47</v>
      </c>
      <c r="P157" s="32">
        <v>0</v>
      </c>
      <c r="Q157" s="33" t="s">
        <v>47</v>
      </c>
      <c r="R157" s="32">
        <v>85</v>
      </c>
      <c r="S157" s="34">
        <f>R157/89*100</f>
        <v>95.50561797752809</v>
      </c>
      <c r="T157" s="32" t="s">
        <v>40</v>
      </c>
      <c r="U157" s="34">
        <f t="shared" si="11"/>
        <v>22.489315294101633</v>
      </c>
      <c r="V157" s="32">
        <v>36</v>
      </c>
      <c r="W157" s="12"/>
    </row>
    <row r="158" spans="1:24" ht="14.25" customHeight="1" x14ac:dyDescent="0.25">
      <c r="A158" s="32" t="s">
        <v>73</v>
      </c>
      <c r="B158" s="32"/>
      <c r="C158" s="32">
        <v>21516082</v>
      </c>
      <c r="D158" s="32" t="s">
        <v>465</v>
      </c>
      <c r="E158" s="32" t="s">
        <v>352</v>
      </c>
      <c r="F158" s="32" t="s">
        <v>26</v>
      </c>
      <c r="G158" s="32" t="s">
        <v>27</v>
      </c>
      <c r="H158" s="32"/>
      <c r="I158" s="32"/>
      <c r="J158" s="32" t="s">
        <v>28</v>
      </c>
      <c r="K158" s="33" t="s">
        <v>466</v>
      </c>
      <c r="L158" s="32"/>
      <c r="M158" s="32">
        <v>3.46</v>
      </c>
      <c r="N158" s="34">
        <f t="shared" si="10"/>
        <v>6.5490611750454271</v>
      </c>
      <c r="O158" s="33"/>
      <c r="P158" s="32">
        <v>0</v>
      </c>
      <c r="Q158" s="33"/>
      <c r="R158" s="32">
        <v>85</v>
      </c>
      <c r="S158" s="35">
        <f>(R158/90)*100</f>
        <v>94.444444444444443</v>
      </c>
      <c r="T158" s="32" t="s">
        <v>40</v>
      </c>
      <c r="U158" s="34">
        <f t="shared" si="11"/>
        <v>22.23924894003634</v>
      </c>
      <c r="V158" s="32">
        <v>37</v>
      </c>
      <c r="W158" s="12"/>
    </row>
    <row r="159" spans="1:24" ht="14.25" customHeight="1" x14ac:dyDescent="0.25">
      <c r="A159" s="32" t="s">
        <v>76</v>
      </c>
      <c r="B159" s="32"/>
      <c r="C159" s="32">
        <v>21616160</v>
      </c>
      <c r="D159" s="32" t="s">
        <v>467</v>
      </c>
      <c r="E159" s="32" t="s">
        <v>352</v>
      </c>
      <c r="F159" s="32" t="s">
        <v>26</v>
      </c>
      <c r="G159" s="32" t="s">
        <v>27</v>
      </c>
      <c r="H159" s="32"/>
      <c r="I159" s="32"/>
      <c r="J159" s="32" t="s">
        <v>28</v>
      </c>
      <c r="K159" s="33" t="s">
        <v>468</v>
      </c>
      <c r="L159" s="32"/>
      <c r="M159" s="32">
        <v>3</v>
      </c>
      <c r="N159" s="34">
        <f t="shared" si="10"/>
        <v>5.6783767413688668</v>
      </c>
      <c r="O159" s="33"/>
      <c r="P159" s="32"/>
      <c r="Q159" s="33" t="s">
        <v>469</v>
      </c>
      <c r="R159" s="32">
        <v>88</v>
      </c>
      <c r="S159" s="38">
        <f>R159/90*100</f>
        <v>97.777777777777771</v>
      </c>
      <c r="T159" s="32" t="s">
        <v>40</v>
      </c>
      <c r="U159" s="34">
        <f t="shared" si="11"/>
        <v>22.142701393095095</v>
      </c>
      <c r="V159" s="32">
        <v>38</v>
      </c>
      <c r="W159" s="12"/>
      <c r="X159" s="12"/>
    </row>
    <row r="160" spans="1:24" ht="14.25" customHeight="1" x14ac:dyDescent="0.25">
      <c r="A160" s="32" t="s">
        <v>73</v>
      </c>
      <c r="B160" s="32"/>
      <c r="C160" s="32">
        <v>21616079</v>
      </c>
      <c r="D160" s="32" t="s">
        <v>470</v>
      </c>
      <c r="E160" s="32" t="s">
        <v>352</v>
      </c>
      <c r="F160" s="32" t="s">
        <v>26</v>
      </c>
      <c r="G160" s="32" t="s">
        <v>27</v>
      </c>
      <c r="H160" s="32"/>
      <c r="I160" s="32"/>
      <c r="J160" s="32" t="s">
        <v>28</v>
      </c>
      <c r="K160" s="33" t="s">
        <v>468</v>
      </c>
      <c r="L160" s="32"/>
      <c r="M160" s="32">
        <v>3</v>
      </c>
      <c r="N160" s="34">
        <f t="shared" si="10"/>
        <v>5.6783767413688668</v>
      </c>
      <c r="O160" s="33" t="s">
        <v>471</v>
      </c>
      <c r="P160" s="32">
        <v>3</v>
      </c>
      <c r="Q160" s="33" t="s">
        <v>472</v>
      </c>
      <c r="R160" s="32">
        <v>85</v>
      </c>
      <c r="S160" s="35">
        <f>(R160/90)*100</f>
        <v>94.444444444444443</v>
      </c>
      <c r="T160" s="32" t="s">
        <v>270</v>
      </c>
      <c r="U160" s="34">
        <f t="shared" si="11"/>
        <v>22.142701393095095</v>
      </c>
      <c r="V160" s="32">
        <v>38</v>
      </c>
      <c r="W160" s="12"/>
      <c r="X160" s="12"/>
    </row>
    <row r="161" spans="1:23" ht="14.25" customHeight="1" x14ac:dyDescent="0.25">
      <c r="A161" s="32" t="s">
        <v>178</v>
      </c>
      <c r="B161" s="32"/>
      <c r="C161" s="39">
        <v>21616189</v>
      </c>
      <c r="D161" s="32" t="s">
        <v>473</v>
      </c>
      <c r="E161" s="32" t="s">
        <v>352</v>
      </c>
      <c r="F161" s="32" t="s">
        <v>26</v>
      </c>
      <c r="G161" s="32" t="s">
        <v>27</v>
      </c>
      <c r="H161" s="32"/>
      <c r="I161" s="32"/>
      <c r="J161" s="32" t="s">
        <v>28</v>
      </c>
      <c r="K161" s="36" t="s">
        <v>1004</v>
      </c>
      <c r="L161" s="32"/>
      <c r="M161" s="32">
        <v>3</v>
      </c>
      <c r="N161" s="34">
        <f t="shared" si="10"/>
        <v>5.6783767413688668</v>
      </c>
      <c r="O161" s="33"/>
      <c r="P161" s="32">
        <v>0</v>
      </c>
      <c r="Q161" s="33"/>
      <c r="R161" s="32">
        <v>80</v>
      </c>
      <c r="S161" s="35">
        <f>R161/90*100</f>
        <v>88.888888888888886</v>
      </c>
      <c r="T161" s="32"/>
      <c r="U161" s="34">
        <f t="shared" si="11"/>
        <v>20.542701393095093</v>
      </c>
      <c r="V161" s="32">
        <v>40</v>
      </c>
      <c r="W161" s="12"/>
    </row>
    <row r="162" spans="1:23" ht="14.25" customHeight="1" x14ac:dyDescent="0.25">
      <c r="A162" s="32" t="s">
        <v>67</v>
      </c>
      <c r="B162" s="32"/>
      <c r="C162" s="32">
        <v>21616032</v>
      </c>
      <c r="D162" s="32" t="s">
        <v>474</v>
      </c>
      <c r="E162" s="32" t="s">
        <v>352</v>
      </c>
      <c r="F162" s="32" t="s">
        <v>26</v>
      </c>
      <c r="G162" s="32" t="s">
        <v>27</v>
      </c>
      <c r="H162" s="32"/>
      <c r="I162" s="32"/>
      <c r="J162" s="32" t="s">
        <v>28</v>
      </c>
      <c r="K162" s="33"/>
      <c r="L162" s="32"/>
      <c r="M162" s="32">
        <v>0</v>
      </c>
      <c r="N162" s="34">
        <f t="shared" si="10"/>
        <v>0</v>
      </c>
      <c r="O162" s="33" t="s">
        <v>169</v>
      </c>
      <c r="P162" s="32">
        <v>9</v>
      </c>
      <c r="Q162" s="33" t="s">
        <v>475</v>
      </c>
      <c r="R162" s="32">
        <v>90</v>
      </c>
      <c r="S162" s="38">
        <f>R162/90*100</f>
        <v>100</v>
      </c>
      <c r="T162" s="32" t="s">
        <v>161</v>
      </c>
      <c r="U162" s="34">
        <f t="shared" si="11"/>
        <v>19.8</v>
      </c>
      <c r="V162" s="32">
        <v>41</v>
      </c>
      <c r="W162" s="12"/>
    </row>
    <row r="163" spans="1:23" ht="14.25" customHeight="1" x14ac:dyDescent="0.25">
      <c r="A163" s="32" t="s">
        <v>41</v>
      </c>
      <c r="B163" s="32"/>
      <c r="C163" s="32">
        <v>21616009</v>
      </c>
      <c r="D163" s="32" t="s">
        <v>476</v>
      </c>
      <c r="E163" s="32" t="s">
        <v>352</v>
      </c>
      <c r="F163" s="32" t="s">
        <v>26</v>
      </c>
      <c r="G163" s="32" t="s">
        <v>27</v>
      </c>
      <c r="H163" s="32"/>
      <c r="I163" s="32"/>
      <c r="J163" s="32" t="s">
        <v>28</v>
      </c>
      <c r="K163" s="33"/>
      <c r="L163" s="32"/>
      <c r="M163" s="32">
        <v>0</v>
      </c>
      <c r="N163" s="34">
        <f t="shared" si="10"/>
        <v>0</v>
      </c>
      <c r="O163" s="33" t="s">
        <v>477</v>
      </c>
      <c r="P163" s="32">
        <v>7</v>
      </c>
      <c r="Q163" s="33" t="s">
        <v>478</v>
      </c>
      <c r="R163" s="32">
        <v>89</v>
      </c>
      <c r="S163" s="35">
        <f>R163/89*100</f>
        <v>100</v>
      </c>
      <c r="T163" s="32" t="s">
        <v>270</v>
      </c>
      <c r="U163" s="34">
        <f t="shared" si="11"/>
        <v>19.400000000000002</v>
      </c>
      <c r="V163" s="32">
        <v>42</v>
      </c>
      <c r="W163" s="12"/>
    </row>
    <row r="164" spans="1:23" ht="14.25" customHeight="1" x14ac:dyDescent="0.25">
      <c r="A164" s="32" t="s">
        <v>76</v>
      </c>
      <c r="B164" s="32"/>
      <c r="C164" s="32">
        <v>21616149</v>
      </c>
      <c r="D164" s="32" t="s">
        <v>479</v>
      </c>
      <c r="E164" s="32" t="s">
        <v>352</v>
      </c>
      <c r="F164" s="32" t="s">
        <v>26</v>
      </c>
      <c r="G164" s="32" t="s">
        <v>27</v>
      </c>
      <c r="H164" s="32"/>
      <c r="I164" s="32"/>
      <c r="J164" s="32" t="s">
        <v>28</v>
      </c>
      <c r="K164" s="33"/>
      <c r="L164" s="32"/>
      <c r="M164" s="32">
        <v>0</v>
      </c>
      <c r="N164" s="34">
        <f t="shared" si="10"/>
        <v>0</v>
      </c>
      <c r="O164" s="33" t="s">
        <v>480</v>
      </c>
      <c r="P164" s="32">
        <v>8</v>
      </c>
      <c r="Q164" s="33" t="s">
        <v>481</v>
      </c>
      <c r="R164" s="32">
        <v>88</v>
      </c>
      <c r="S164" s="38">
        <f>R164/90*100</f>
        <v>97.777777777777771</v>
      </c>
      <c r="T164" s="32" t="s">
        <v>1008</v>
      </c>
      <c r="U164" s="34">
        <f t="shared" si="11"/>
        <v>19.200000000000003</v>
      </c>
      <c r="V164" s="32">
        <v>43</v>
      </c>
      <c r="W164" s="12"/>
    </row>
    <row r="165" spans="1:23" ht="14.25" customHeight="1" x14ac:dyDescent="0.25">
      <c r="A165" s="32" t="s">
        <v>73</v>
      </c>
      <c r="B165" s="32"/>
      <c r="C165" s="32">
        <v>21616080</v>
      </c>
      <c r="D165" s="32" t="s">
        <v>482</v>
      </c>
      <c r="E165" s="32" t="s">
        <v>352</v>
      </c>
      <c r="F165" s="32" t="s">
        <v>26</v>
      </c>
      <c r="G165" s="32" t="s">
        <v>27</v>
      </c>
      <c r="H165" s="32"/>
      <c r="I165" s="32"/>
      <c r="J165" s="32" t="s">
        <v>28</v>
      </c>
      <c r="K165" s="33"/>
      <c r="L165" s="32"/>
      <c r="M165" s="32">
        <v>0</v>
      </c>
      <c r="N165" s="34">
        <f t="shared" si="10"/>
        <v>0</v>
      </c>
      <c r="O165" s="33" t="s">
        <v>483</v>
      </c>
      <c r="P165" s="32">
        <v>3</v>
      </c>
      <c r="Q165" s="33" t="s">
        <v>484</v>
      </c>
      <c r="R165" s="32">
        <v>88</v>
      </c>
      <c r="S165" s="35">
        <f>(R165/90)*100</f>
        <v>97.777777777777771</v>
      </c>
      <c r="T165" s="32" t="s">
        <v>1006</v>
      </c>
      <c r="U165" s="34">
        <f t="shared" si="11"/>
        <v>18.2</v>
      </c>
      <c r="V165" s="32">
        <v>44</v>
      </c>
      <c r="W165" s="20"/>
    </row>
    <row r="166" spans="1:23" ht="14.25" customHeight="1" x14ac:dyDescent="0.25">
      <c r="A166" s="32" t="s">
        <v>76</v>
      </c>
      <c r="B166" s="32"/>
      <c r="C166" s="32">
        <v>21616162</v>
      </c>
      <c r="D166" s="32" t="s">
        <v>485</v>
      </c>
      <c r="E166" s="32" t="s">
        <v>352</v>
      </c>
      <c r="F166" s="32" t="s">
        <v>26</v>
      </c>
      <c r="G166" s="32" t="s">
        <v>27</v>
      </c>
      <c r="H166" s="32"/>
      <c r="I166" s="32"/>
      <c r="J166" s="32" t="s">
        <v>28</v>
      </c>
      <c r="K166" s="33"/>
      <c r="L166" s="32"/>
      <c r="M166" s="32">
        <v>0</v>
      </c>
      <c r="N166" s="34">
        <f t="shared" si="10"/>
        <v>0</v>
      </c>
      <c r="O166" s="33" t="s">
        <v>486</v>
      </c>
      <c r="P166" s="32">
        <v>3</v>
      </c>
      <c r="Q166" s="33" t="s">
        <v>487</v>
      </c>
      <c r="R166" s="32">
        <v>87</v>
      </c>
      <c r="S166" s="38">
        <f>R166/90*100</f>
        <v>96.666666666666671</v>
      </c>
      <c r="T166" s="32" t="s">
        <v>40</v>
      </c>
      <c r="U166" s="34">
        <f t="shared" si="11"/>
        <v>18</v>
      </c>
      <c r="V166" s="32">
        <v>45</v>
      </c>
      <c r="W166" s="12"/>
    </row>
    <row r="167" spans="1:23" ht="14.25" customHeight="1" x14ac:dyDescent="0.25">
      <c r="A167" s="32" t="s">
        <v>67</v>
      </c>
      <c r="B167" s="32"/>
      <c r="C167" s="32">
        <v>21616015</v>
      </c>
      <c r="D167" s="32" t="s">
        <v>488</v>
      </c>
      <c r="E167" s="32" t="s">
        <v>352</v>
      </c>
      <c r="F167" s="32" t="s">
        <v>26</v>
      </c>
      <c r="G167" s="32" t="s">
        <v>27</v>
      </c>
      <c r="H167" s="32"/>
      <c r="I167" s="32"/>
      <c r="J167" s="32" t="s">
        <v>28</v>
      </c>
      <c r="K167" s="33"/>
      <c r="L167" s="32"/>
      <c r="M167" s="32">
        <v>0</v>
      </c>
      <c r="N167" s="34">
        <f t="shared" si="10"/>
        <v>0</v>
      </c>
      <c r="O167" s="33" t="s">
        <v>489</v>
      </c>
      <c r="P167" s="32"/>
      <c r="Q167" s="33"/>
      <c r="R167" s="32">
        <v>90</v>
      </c>
      <c r="S167" s="38">
        <f>R167/90*100</f>
        <v>100</v>
      </c>
      <c r="T167" s="32" t="s">
        <v>40</v>
      </c>
      <c r="U167" s="34">
        <f t="shared" si="11"/>
        <v>18</v>
      </c>
      <c r="V167" s="32">
        <v>45</v>
      </c>
      <c r="W167" s="12"/>
    </row>
    <row r="168" spans="1:23" ht="14.25" customHeight="1" x14ac:dyDescent="0.25">
      <c r="A168" s="32" t="s">
        <v>76</v>
      </c>
      <c r="B168" s="32"/>
      <c r="C168" s="32">
        <v>21616154</v>
      </c>
      <c r="D168" s="32" t="s">
        <v>490</v>
      </c>
      <c r="E168" s="32" t="s">
        <v>352</v>
      </c>
      <c r="F168" s="32" t="s">
        <v>26</v>
      </c>
      <c r="G168" s="32" t="s">
        <v>27</v>
      </c>
      <c r="H168" s="32"/>
      <c r="I168" s="32"/>
      <c r="J168" s="32" t="s">
        <v>28</v>
      </c>
      <c r="K168" s="33"/>
      <c r="L168" s="32"/>
      <c r="M168" s="32">
        <v>0</v>
      </c>
      <c r="N168" s="34">
        <f t="shared" si="10"/>
        <v>0</v>
      </c>
      <c r="O168" s="33" t="s">
        <v>491</v>
      </c>
      <c r="P168" s="32">
        <v>3</v>
      </c>
      <c r="Q168" s="33" t="s">
        <v>492</v>
      </c>
      <c r="R168" s="32">
        <v>86</v>
      </c>
      <c r="S168" s="38">
        <f>R168/90*100</f>
        <v>95.555555555555557</v>
      </c>
      <c r="T168" s="32" t="s">
        <v>40</v>
      </c>
      <c r="U168" s="34">
        <f t="shared" si="11"/>
        <v>17.8</v>
      </c>
      <c r="V168" s="32">
        <v>47</v>
      </c>
      <c r="W168" s="12"/>
    </row>
    <row r="169" spans="1:23" ht="13.8" customHeight="1" x14ac:dyDescent="0.25">
      <c r="A169" s="32" t="s">
        <v>32</v>
      </c>
      <c r="B169" s="32"/>
      <c r="C169" s="32">
        <v>21616113</v>
      </c>
      <c r="D169" s="32" t="s">
        <v>493</v>
      </c>
      <c r="E169" s="32" t="s">
        <v>463</v>
      </c>
      <c r="F169" s="32" t="s">
        <v>307</v>
      </c>
      <c r="G169" s="32" t="s">
        <v>27</v>
      </c>
      <c r="H169" s="32"/>
      <c r="I169" s="32"/>
      <c r="J169" s="32" t="s">
        <v>28</v>
      </c>
      <c r="K169" s="33"/>
      <c r="L169" s="32"/>
      <c r="M169" s="32">
        <v>0</v>
      </c>
      <c r="N169" s="34">
        <f t="shared" si="10"/>
        <v>0</v>
      </c>
      <c r="O169" s="33" t="s">
        <v>494</v>
      </c>
      <c r="P169" s="32">
        <v>2</v>
      </c>
      <c r="Q169" s="33" t="s">
        <v>495</v>
      </c>
      <c r="R169" s="32">
        <v>85</v>
      </c>
      <c r="S169" s="34">
        <f>R169/89*100</f>
        <v>95.50561797752809</v>
      </c>
      <c r="T169" s="32" t="s">
        <v>40</v>
      </c>
      <c r="U169" s="34">
        <f t="shared" si="11"/>
        <v>17.591011235955058</v>
      </c>
      <c r="V169" s="32">
        <v>48</v>
      </c>
      <c r="W169" s="12"/>
    </row>
    <row r="170" spans="1:23" ht="14.25" customHeight="1" x14ac:dyDescent="0.25">
      <c r="A170" s="32" t="s">
        <v>32</v>
      </c>
      <c r="B170" s="32"/>
      <c r="C170" s="32">
        <v>21616128</v>
      </c>
      <c r="D170" s="32" t="s">
        <v>496</v>
      </c>
      <c r="E170" s="32" t="s">
        <v>463</v>
      </c>
      <c r="F170" s="32" t="s">
        <v>26</v>
      </c>
      <c r="G170" s="32" t="s">
        <v>27</v>
      </c>
      <c r="H170" s="32"/>
      <c r="I170" s="32"/>
      <c r="J170" s="32" t="s">
        <v>28</v>
      </c>
      <c r="K170" s="33"/>
      <c r="L170" s="32"/>
      <c r="M170" s="32">
        <v>0</v>
      </c>
      <c r="N170" s="34">
        <f t="shared" si="10"/>
        <v>0</v>
      </c>
      <c r="O170" s="33" t="s">
        <v>497</v>
      </c>
      <c r="P170" s="32">
        <v>0</v>
      </c>
      <c r="Q170" s="33" t="s">
        <v>498</v>
      </c>
      <c r="R170" s="32">
        <v>86</v>
      </c>
      <c r="S170" s="34">
        <f>R170/89*100</f>
        <v>96.629213483146074</v>
      </c>
      <c r="T170" s="32" t="s">
        <v>40</v>
      </c>
      <c r="U170" s="34">
        <f t="shared" si="11"/>
        <v>17.393258426966295</v>
      </c>
      <c r="V170" s="32">
        <v>49</v>
      </c>
      <c r="W170" s="12"/>
    </row>
    <row r="171" spans="1:23" ht="14.25" customHeight="1" x14ac:dyDescent="0.25">
      <c r="A171" s="32" t="s">
        <v>76</v>
      </c>
      <c r="B171" s="32"/>
      <c r="C171" s="32">
        <v>21616156</v>
      </c>
      <c r="D171" s="32" t="s">
        <v>499</v>
      </c>
      <c r="E171" s="32" t="s">
        <v>352</v>
      </c>
      <c r="F171" s="32" t="s">
        <v>26</v>
      </c>
      <c r="G171" s="32" t="s">
        <v>27</v>
      </c>
      <c r="H171" s="32"/>
      <c r="I171" s="32"/>
      <c r="J171" s="32" t="s">
        <v>28</v>
      </c>
      <c r="K171" s="33"/>
      <c r="L171" s="32"/>
      <c r="M171" s="32">
        <v>0</v>
      </c>
      <c r="N171" s="34">
        <f t="shared" si="10"/>
        <v>0</v>
      </c>
      <c r="O171" s="33"/>
      <c r="P171" s="32"/>
      <c r="Q171" s="33" t="s">
        <v>500</v>
      </c>
      <c r="R171" s="32">
        <v>86</v>
      </c>
      <c r="S171" s="38">
        <f>R171/90*100</f>
        <v>95.555555555555557</v>
      </c>
      <c r="T171" s="32"/>
      <c r="U171" s="34">
        <f t="shared" si="11"/>
        <v>17.2</v>
      </c>
      <c r="V171" s="32">
        <v>50</v>
      </c>
      <c r="W171" s="12"/>
    </row>
    <row r="172" spans="1:23" ht="14.25" customHeight="1" x14ac:dyDescent="0.25">
      <c r="A172" s="32" t="s">
        <v>76</v>
      </c>
      <c r="B172" s="32"/>
      <c r="C172" s="32">
        <v>21616157</v>
      </c>
      <c r="D172" s="32" t="s">
        <v>501</v>
      </c>
      <c r="E172" s="32" t="s">
        <v>352</v>
      </c>
      <c r="F172" s="32" t="s">
        <v>26</v>
      </c>
      <c r="G172" s="32" t="s">
        <v>27</v>
      </c>
      <c r="H172" s="32"/>
      <c r="I172" s="32"/>
      <c r="J172" s="32" t="s">
        <v>28</v>
      </c>
      <c r="K172" s="33"/>
      <c r="L172" s="32"/>
      <c r="M172" s="32">
        <v>0</v>
      </c>
      <c r="N172" s="34">
        <f t="shared" si="10"/>
        <v>0</v>
      </c>
      <c r="O172" s="33"/>
      <c r="P172" s="32"/>
      <c r="Q172" s="33" t="s">
        <v>502</v>
      </c>
      <c r="R172" s="32">
        <v>86</v>
      </c>
      <c r="S172" s="38">
        <f>R172/90*100</f>
        <v>95.555555555555557</v>
      </c>
      <c r="T172" s="32"/>
      <c r="U172" s="34">
        <f t="shared" si="11"/>
        <v>17.2</v>
      </c>
      <c r="V172" s="32">
        <v>50</v>
      </c>
      <c r="W172" s="12"/>
    </row>
    <row r="173" spans="1:23" ht="14.25" customHeight="1" x14ac:dyDescent="0.25">
      <c r="A173" s="32" t="s">
        <v>32</v>
      </c>
      <c r="B173" s="32"/>
      <c r="C173" s="32">
        <v>21616127</v>
      </c>
      <c r="D173" s="32" t="s">
        <v>503</v>
      </c>
      <c r="E173" s="32" t="s">
        <v>352</v>
      </c>
      <c r="F173" s="32" t="s">
        <v>26</v>
      </c>
      <c r="G173" s="32" t="s">
        <v>27</v>
      </c>
      <c r="H173" s="32"/>
      <c r="I173" s="32"/>
      <c r="J173" s="32" t="s">
        <v>28</v>
      </c>
      <c r="K173" s="33"/>
      <c r="L173" s="32"/>
      <c r="M173" s="32">
        <v>0</v>
      </c>
      <c r="N173" s="34">
        <f t="shared" si="10"/>
        <v>0</v>
      </c>
      <c r="O173" s="33" t="s">
        <v>504</v>
      </c>
      <c r="P173" s="32">
        <v>0</v>
      </c>
      <c r="Q173" s="33" t="s">
        <v>505</v>
      </c>
      <c r="R173" s="32">
        <v>85</v>
      </c>
      <c r="S173" s="34">
        <f>R173/89*100</f>
        <v>95.50561797752809</v>
      </c>
      <c r="T173" s="32" t="s">
        <v>40</v>
      </c>
      <c r="U173" s="34">
        <f t="shared" si="11"/>
        <v>17.191011235955056</v>
      </c>
      <c r="V173" s="32">
        <v>52</v>
      </c>
      <c r="W173" s="12"/>
    </row>
    <row r="174" spans="1:23" ht="14.25" customHeight="1" x14ac:dyDescent="0.25">
      <c r="A174" s="32" t="s">
        <v>73</v>
      </c>
      <c r="B174" s="32"/>
      <c r="C174" s="32">
        <v>21616075</v>
      </c>
      <c r="D174" s="32" t="s">
        <v>506</v>
      </c>
      <c r="E174" s="32" t="s">
        <v>352</v>
      </c>
      <c r="F174" s="32" t="s">
        <v>26</v>
      </c>
      <c r="G174" s="32" t="s">
        <v>27</v>
      </c>
      <c r="H174" s="32"/>
      <c r="I174" s="32"/>
      <c r="J174" s="32" t="s">
        <v>28</v>
      </c>
      <c r="K174" s="41"/>
      <c r="L174" s="32"/>
      <c r="M174" s="32">
        <v>0</v>
      </c>
      <c r="N174" s="34">
        <f t="shared" si="10"/>
        <v>0</v>
      </c>
      <c r="O174" s="33"/>
      <c r="P174" s="32">
        <v>0</v>
      </c>
      <c r="Q174" s="33" t="s">
        <v>363</v>
      </c>
      <c r="R174" s="32">
        <v>85</v>
      </c>
      <c r="S174" s="35">
        <f>(R174/90)*100</f>
        <v>94.444444444444443</v>
      </c>
      <c r="T174" s="32"/>
      <c r="U174" s="34">
        <f t="shared" si="11"/>
        <v>17</v>
      </c>
      <c r="V174" s="32">
        <v>53</v>
      </c>
      <c r="W174" s="12"/>
    </row>
    <row r="175" spans="1:23" ht="14.25" customHeight="1" x14ac:dyDescent="0.25">
      <c r="A175" s="32" t="s">
        <v>73</v>
      </c>
      <c r="B175" s="32"/>
      <c r="C175" s="32">
        <v>21616077</v>
      </c>
      <c r="D175" s="32" t="s">
        <v>507</v>
      </c>
      <c r="E175" s="32" t="s">
        <v>352</v>
      </c>
      <c r="F175" s="32" t="s">
        <v>26</v>
      </c>
      <c r="G175" s="32" t="s">
        <v>27</v>
      </c>
      <c r="H175" s="32"/>
      <c r="I175" s="32"/>
      <c r="J175" s="32" t="s">
        <v>28</v>
      </c>
      <c r="K175" s="41"/>
      <c r="L175" s="32"/>
      <c r="M175" s="32">
        <v>0</v>
      </c>
      <c r="N175" s="34">
        <f t="shared" si="10"/>
        <v>0</v>
      </c>
      <c r="O175" s="33"/>
      <c r="P175" s="32">
        <v>0</v>
      </c>
      <c r="Q175" s="33"/>
      <c r="R175" s="32">
        <v>85</v>
      </c>
      <c r="S175" s="35">
        <f>(R175/90)*100</f>
        <v>94.444444444444443</v>
      </c>
      <c r="T175" s="32"/>
      <c r="U175" s="34">
        <f t="shared" si="11"/>
        <v>17</v>
      </c>
      <c r="V175" s="32">
        <v>53</v>
      </c>
      <c r="W175" s="12"/>
    </row>
    <row r="176" spans="1:23" ht="14.25" customHeight="1" x14ac:dyDescent="0.25">
      <c r="A176" s="32" t="s">
        <v>32</v>
      </c>
      <c r="B176" s="32"/>
      <c r="C176" s="32">
        <v>21616114</v>
      </c>
      <c r="D176" s="32" t="s">
        <v>508</v>
      </c>
      <c r="E176" s="32" t="s">
        <v>463</v>
      </c>
      <c r="F176" s="32" t="s">
        <v>26</v>
      </c>
      <c r="G176" s="32" t="s">
        <v>27</v>
      </c>
      <c r="H176" s="32"/>
      <c r="I176" s="32"/>
      <c r="J176" s="32" t="s">
        <v>28</v>
      </c>
      <c r="K176" s="33"/>
      <c r="L176" s="32"/>
      <c r="M176" s="32">
        <v>0</v>
      </c>
      <c r="N176" s="34">
        <f t="shared" si="10"/>
        <v>0</v>
      </c>
      <c r="O176" s="33" t="s">
        <v>509</v>
      </c>
      <c r="P176" s="32">
        <v>0</v>
      </c>
      <c r="Q176" s="33"/>
      <c r="R176" s="32">
        <v>84</v>
      </c>
      <c r="S176" s="34">
        <f>R176/89*100</f>
        <v>94.382022471910105</v>
      </c>
      <c r="T176" s="32"/>
      <c r="U176" s="34">
        <f t="shared" si="11"/>
        <v>16.988764044943817</v>
      </c>
      <c r="V176" s="32">
        <v>55</v>
      </c>
      <c r="W176" s="12"/>
    </row>
    <row r="177" spans="1:23" ht="14.25" customHeight="1" x14ac:dyDescent="0.25">
      <c r="A177" s="32" t="s">
        <v>32</v>
      </c>
      <c r="B177" s="32"/>
      <c r="C177" s="32">
        <v>21616116</v>
      </c>
      <c r="D177" s="32" t="s">
        <v>510</v>
      </c>
      <c r="E177" s="32" t="s">
        <v>463</v>
      </c>
      <c r="F177" s="32" t="s">
        <v>26</v>
      </c>
      <c r="G177" s="32" t="s">
        <v>27</v>
      </c>
      <c r="H177" s="32"/>
      <c r="I177" s="32"/>
      <c r="J177" s="32" t="s">
        <v>28</v>
      </c>
      <c r="K177" s="33"/>
      <c r="L177" s="32"/>
      <c r="M177" s="32">
        <v>0</v>
      </c>
      <c r="N177" s="34">
        <f t="shared" si="10"/>
        <v>0</v>
      </c>
      <c r="O177" s="33"/>
      <c r="P177" s="32">
        <v>0</v>
      </c>
      <c r="Q177" s="33" t="s">
        <v>511</v>
      </c>
      <c r="R177" s="32">
        <v>84</v>
      </c>
      <c r="S177" s="34">
        <f>R177/89*100</f>
        <v>94.382022471910105</v>
      </c>
      <c r="T177" s="32"/>
      <c r="U177" s="34">
        <f t="shared" si="11"/>
        <v>16.988764044943817</v>
      </c>
      <c r="V177" s="32">
        <v>55</v>
      </c>
      <c r="W177" s="12"/>
    </row>
    <row r="178" spans="1:23" ht="14.25" customHeight="1" x14ac:dyDescent="0.25">
      <c r="A178" s="42" t="s">
        <v>76</v>
      </c>
      <c r="B178" s="74" t="s">
        <v>512</v>
      </c>
      <c r="C178" s="42">
        <v>21716101</v>
      </c>
      <c r="D178" s="42" t="s">
        <v>513</v>
      </c>
      <c r="E178" s="42" t="s">
        <v>514</v>
      </c>
      <c r="F178" s="42" t="s">
        <v>26</v>
      </c>
      <c r="G178" s="42" t="s">
        <v>27</v>
      </c>
      <c r="H178" s="42">
        <v>88.09</v>
      </c>
      <c r="I178" s="42">
        <f>H178/89.42*100</f>
        <v>98.512636993961095</v>
      </c>
      <c r="J178" s="42" t="s">
        <v>34</v>
      </c>
      <c r="K178" s="43" t="s">
        <v>406</v>
      </c>
      <c r="L178" s="42"/>
      <c r="M178" s="42">
        <f>4.609*2</f>
        <v>9.218</v>
      </c>
      <c r="N178" s="44">
        <f t="shared" ref="N178:N241" si="12">M178/9.218*100</f>
        <v>100</v>
      </c>
      <c r="O178" s="43" t="s">
        <v>515</v>
      </c>
      <c r="P178" s="42">
        <v>5</v>
      </c>
      <c r="Q178" s="43" t="s">
        <v>516</v>
      </c>
      <c r="R178" s="42">
        <v>86</v>
      </c>
      <c r="S178" s="45">
        <f t="shared" ref="S178:S187" si="13">R178/90*100</f>
        <v>95.555555555555557</v>
      </c>
      <c r="T178" s="42" t="s">
        <v>31</v>
      </c>
      <c r="U178" s="44">
        <f>0.7*I178+N178*0.15+(P178+S178*0.9)*0.15</f>
        <v>97.608845895772774</v>
      </c>
      <c r="V178" s="42">
        <v>1</v>
      </c>
      <c r="W178" s="12"/>
    </row>
    <row r="179" spans="1:23" ht="14.25" customHeight="1" x14ac:dyDescent="0.25">
      <c r="A179" s="42" t="s">
        <v>22</v>
      </c>
      <c r="B179" s="74" t="s">
        <v>517</v>
      </c>
      <c r="C179" s="42">
        <v>21716113</v>
      </c>
      <c r="D179" s="42" t="s">
        <v>518</v>
      </c>
      <c r="E179" s="42" t="s">
        <v>514</v>
      </c>
      <c r="F179" s="42" t="s">
        <v>26</v>
      </c>
      <c r="G179" s="42" t="s">
        <v>27</v>
      </c>
      <c r="H179" s="42">
        <v>82.8</v>
      </c>
      <c r="I179" s="42">
        <f>H179/86.5*100</f>
        <v>95.72254335260115</v>
      </c>
      <c r="J179" s="42" t="s">
        <v>34</v>
      </c>
      <c r="K179" s="43" t="s">
        <v>163</v>
      </c>
      <c r="L179" s="42"/>
      <c r="M179" s="42">
        <f>4*2</f>
        <v>8</v>
      </c>
      <c r="N179" s="44">
        <f t="shared" si="12"/>
        <v>86.786721631590368</v>
      </c>
      <c r="O179" s="43" t="s">
        <v>519</v>
      </c>
      <c r="P179" s="42">
        <v>3</v>
      </c>
      <c r="Q179" s="43" t="s">
        <v>520</v>
      </c>
      <c r="R179" s="42">
        <v>86</v>
      </c>
      <c r="S179" s="46">
        <f t="shared" si="13"/>
        <v>95.555555555555557</v>
      </c>
      <c r="T179" s="42" t="s">
        <v>40</v>
      </c>
      <c r="U179" s="44">
        <f t="shared" ref="U179:U242" si="14">0.7*I179+N179*0.15+(P179+S179*0.9)*0.15</f>
        <v>93.373788591559347</v>
      </c>
      <c r="V179" s="42">
        <v>2</v>
      </c>
      <c r="W179" s="12"/>
    </row>
    <row r="180" spans="1:23" ht="14.25" customHeight="1" x14ac:dyDescent="0.25">
      <c r="A180" s="42" t="s">
        <v>67</v>
      </c>
      <c r="B180" s="42"/>
      <c r="C180" s="42">
        <v>21716031</v>
      </c>
      <c r="D180" s="42" t="s">
        <v>521</v>
      </c>
      <c r="E180" s="42" t="s">
        <v>514</v>
      </c>
      <c r="F180" s="42" t="s">
        <v>26</v>
      </c>
      <c r="G180" s="42" t="s">
        <v>27</v>
      </c>
      <c r="H180" s="42">
        <v>88.45</v>
      </c>
      <c r="I180" s="42">
        <f>H180/89.9*100</f>
        <v>98.387096774193552</v>
      </c>
      <c r="J180" s="42" t="s">
        <v>34</v>
      </c>
      <c r="K180" s="43" t="s">
        <v>522</v>
      </c>
      <c r="L180" s="42"/>
      <c r="M180" s="42">
        <f>2.186*2</f>
        <v>4.3719999999999999</v>
      </c>
      <c r="N180" s="44">
        <f t="shared" si="12"/>
        <v>47.428943371664133</v>
      </c>
      <c r="O180" s="43" t="s">
        <v>523</v>
      </c>
      <c r="P180" s="42">
        <v>3</v>
      </c>
      <c r="Q180" s="43"/>
      <c r="R180" s="42">
        <v>85</v>
      </c>
      <c r="S180" s="45">
        <f t="shared" si="13"/>
        <v>94.444444444444443</v>
      </c>
      <c r="T180" s="42" t="s">
        <v>31</v>
      </c>
      <c r="U180" s="44">
        <f t="shared" si="14"/>
        <v>89.185309247685112</v>
      </c>
      <c r="V180" s="42">
        <v>3</v>
      </c>
      <c r="W180" s="12"/>
    </row>
    <row r="181" spans="1:23" ht="14.25" customHeight="1" x14ac:dyDescent="0.25">
      <c r="A181" s="42" t="s">
        <v>22</v>
      </c>
      <c r="B181" s="42"/>
      <c r="C181" s="42">
        <v>21716119</v>
      </c>
      <c r="D181" s="42" t="s">
        <v>524</v>
      </c>
      <c r="E181" s="42" t="s">
        <v>514</v>
      </c>
      <c r="F181" s="42" t="s">
        <v>26</v>
      </c>
      <c r="G181" s="42" t="s">
        <v>27</v>
      </c>
      <c r="H181" s="42">
        <v>84.7</v>
      </c>
      <c r="I181" s="42">
        <f>H181/86.5*100</f>
        <v>97.919075144508668</v>
      </c>
      <c r="J181" s="42" t="s">
        <v>34</v>
      </c>
      <c r="K181" s="43" t="s">
        <v>525</v>
      </c>
      <c r="L181" s="42"/>
      <c r="M181" s="42">
        <f>4*1</f>
        <v>4</v>
      </c>
      <c r="N181" s="44">
        <f t="shared" si="12"/>
        <v>43.393360815795184</v>
      </c>
      <c r="O181" s="43" t="s">
        <v>214</v>
      </c>
      <c r="P181" s="42">
        <v>3</v>
      </c>
      <c r="Q181" s="43" t="s">
        <v>526</v>
      </c>
      <c r="R181" s="42">
        <v>86</v>
      </c>
      <c r="S181" s="46">
        <f t="shared" si="13"/>
        <v>95.555555555555557</v>
      </c>
      <c r="T181" s="42" t="s">
        <v>40</v>
      </c>
      <c r="U181" s="44">
        <f t="shared" si="14"/>
        <v>88.40235672352533</v>
      </c>
      <c r="V181" s="42">
        <v>4</v>
      </c>
      <c r="W181" s="12"/>
    </row>
    <row r="182" spans="1:23" ht="14.25" customHeight="1" x14ac:dyDescent="0.25">
      <c r="A182" s="42" t="s">
        <v>59</v>
      </c>
      <c r="B182" s="42"/>
      <c r="C182" s="42">
        <v>21716064</v>
      </c>
      <c r="D182" s="42" t="s">
        <v>527</v>
      </c>
      <c r="E182" s="42" t="s">
        <v>514</v>
      </c>
      <c r="F182" s="42" t="s">
        <v>26</v>
      </c>
      <c r="G182" s="42" t="s">
        <v>27</v>
      </c>
      <c r="H182" s="42">
        <v>86.7</v>
      </c>
      <c r="I182" s="42">
        <f>H182/89.7*100</f>
        <v>96.655518394648837</v>
      </c>
      <c r="J182" s="42" t="s">
        <v>34</v>
      </c>
      <c r="K182" s="47" t="s">
        <v>1011</v>
      </c>
      <c r="L182" s="42"/>
      <c r="M182" s="42">
        <f>1.855*2</f>
        <v>3.71</v>
      </c>
      <c r="N182" s="44">
        <f t="shared" si="12"/>
        <v>40.247342156650035</v>
      </c>
      <c r="O182" s="43" t="s">
        <v>528</v>
      </c>
      <c r="P182" s="42">
        <v>3</v>
      </c>
      <c r="Q182" s="43" t="s">
        <v>350</v>
      </c>
      <c r="R182" s="42">
        <v>87</v>
      </c>
      <c r="S182" s="46">
        <f t="shared" si="13"/>
        <v>96.666666666666671</v>
      </c>
      <c r="T182" s="42"/>
      <c r="U182" s="44">
        <f t="shared" si="14"/>
        <v>87.195964199751685</v>
      </c>
      <c r="V182" s="42">
        <v>5</v>
      </c>
      <c r="W182" s="12"/>
    </row>
    <row r="183" spans="1:23" ht="14.25" customHeight="1" x14ac:dyDescent="0.25">
      <c r="A183" s="42" t="s">
        <v>67</v>
      </c>
      <c r="B183" s="42"/>
      <c r="C183" s="48">
        <v>21716019</v>
      </c>
      <c r="D183" s="42" t="s">
        <v>529</v>
      </c>
      <c r="E183" s="42" t="s">
        <v>514</v>
      </c>
      <c r="F183" s="42" t="s">
        <v>26</v>
      </c>
      <c r="G183" s="42" t="s">
        <v>27</v>
      </c>
      <c r="H183" s="49">
        <v>89.9</v>
      </c>
      <c r="I183" s="42">
        <f>H183/89.9*100</f>
        <v>100</v>
      </c>
      <c r="J183" s="42" t="s">
        <v>34</v>
      </c>
      <c r="K183" s="43"/>
      <c r="L183" s="42"/>
      <c r="M183" s="42">
        <v>0</v>
      </c>
      <c r="N183" s="44">
        <f t="shared" si="12"/>
        <v>0</v>
      </c>
      <c r="O183" s="43" t="s">
        <v>530</v>
      </c>
      <c r="P183" s="42">
        <v>9</v>
      </c>
      <c r="Q183" s="43" t="s">
        <v>531</v>
      </c>
      <c r="R183" s="42">
        <v>90</v>
      </c>
      <c r="S183" s="45">
        <f t="shared" si="13"/>
        <v>100</v>
      </c>
      <c r="T183" s="42" t="s">
        <v>276</v>
      </c>
      <c r="U183" s="44">
        <f t="shared" si="14"/>
        <v>84.85</v>
      </c>
      <c r="V183" s="42">
        <v>6</v>
      </c>
      <c r="W183" s="12"/>
    </row>
    <row r="184" spans="1:23" ht="14.25" customHeight="1" x14ac:dyDescent="0.25">
      <c r="A184" s="42" t="s">
        <v>81</v>
      </c>
      <c r="B184" s="42"/>
      <c r="C184" s="42">
        <v>21716036</v>
      </c>
      <c r="D184" s="42" t="s">
        <v>532</v>
      </c>
      <c r="E184" s="42" t="s">
        <v>514</v>
      </c>
      <c r="F184" s="42" t="s">
        <v>26</v>
      </c>
      <c r="G184" s="42" t="s">
        <v>27</v>
      </c>
      <c r="H184" s="42">
        <v>89.67</v>
      </c>
      <c r="I184" s="42">
        <f>H184/89.67*100</f>
        <v>100</v>
      </c>
      <c r="J184" s="42" t="s">
        <v>34</v>
      </c>
      <c r="K184" s="43"/>
      <c r="L184" s="42"/>
      <c r="M184" s="42">
        <v>0</v>
      </c>
      <c r="N184" s="44">
        <f t="shared" si="12"/>
        <v>0</v>
      </c>
      <c r="O184" s="43" t="s">
        <v>533</v>
      </c>
      <c r="P184" s="42">
        <v>5</v>
      </c>
      <c r="Q184" s="43"/>
      <c r="R184" s="50" t="s">
        <v>534</v>
      </c>
      <c r="S184" s="45">
        <f t="shared" si="13"/>
        <v>100</v>
      </c>
      <c r="T184" s="42" t="s">
        <v>276</v>
      </c>
      <c r="U184" s="44">
        <f t="shared" si="14"/>
        <v>84.25</v>
      </c>
      <c r="V184" s="42">
        <v>7</v>
      </c>
      <c r="W184" s="12"/>
    </row>
    <row r="185" spans="1:23" ht="14.25" customHeight="1" x14ac:dyDescent="0.25">
      <c r="A185" s="42" t="s">
        <v>59</v>
      </c>
      <c r="B185" s="42"/>
      <c r="C185" s="42">
        <v>21716063</v>
      </c>
      <c r="D185" s="42" t="s">
        <v>535</v>
      </c>
      <c r="E185" s="42" t="s">
        <v>514</v>
      </c>
      <c r="F185" s="42" t="s">
        <v>26</v>
      </c>
      <c r="G185" s="42" t="s">
        <v>27</v>
      </c>
      <c r="H185" s="42">
        <v>89.7</v>
      </c>
      <c r="I185" s="42">
        <f>H185/89.7*100</f>
        <v>100</v>
      </c>
      <c r="J185" s="42" t="s">
        <v>34</v>
      </c>
      <c r="K185" s="43"/>
      <c r="L185" s="42"/>
      <c r="M185" s="42">
        <v>0</v>
      </c>
      <c r="N185" s="44">
        <f t="shared" si="12"/>
        <v>0</v>
      </c>
      <c r="O185" s="43" t="s">
        <v>536</v>
      </c>
      <c r="P185" s="42">
        <v>6</v>
      </c>
      <c r="Q185" s="43" t="s">
        <v>537</v>
      </c>
      <c r="R185" s="42">
        <v>89</v>
      </c>
      <c r="S185" s="46">
        <f t="shared" si="13"/>
        <v>98.888888888888886</v>
      </c>
      <c r="T185" s="42" t="s">
        <v>31</v>
      </c>
      <c r="U185" s="44">
        <f t="shared" si="14"/>
        <v>84.25</v>
      </c>
      <c r="V185" s="42">
        <v>7</v>
      </c>
      <c r="W185" s="12"/>
    </row>
    <row r="186" spans="1:23" ht="14.25" customHeight="1" x14ac:dyDescent="0.25">
      <c r="A186" s="42" t="s">
        <v>22</v>
      </c>
      <c r="B186" s="42"/>
      <c r="C186" s="42">
        <v>21716120</v>
      </c>
      <c r="D186" s="42" t="s">
        <v>538</v>
      </c>
      <c r="E186" s="42" t="s">
        <v>514</v>
      </c>
      <c r="F186" s="42" t="s">
        <v>26</v>
      </c>
      <c r="G186" s="42" t="s">
        <v>27</v>
      </c>
      <c r="H186" s="42">
        <v>86.5</v>
      </c>
      <c r="I186" s="42">
        <f>H186/86.5*100</f>
        <v>100</v>
      </c>
      <c r="J186" s="42" t="s">
        <v>34</v>
      </c>
      <c r="K186" s="43"/>
      <c r="L186" s="42"/>
      <c r="M186" s="42">
        <v>0</v>
      </c>
      <c r="N186" s="44">
        <f t="shared" si="12"/>
        <v>0</v>
      </c>
      <c r="O186" s="43" t="s">
        <v>539</v>
      </c>
      <c r="P186" s="42">
        <v>3</v>
      </c>
      <c r="Q186" s="43" t="s">
        <v>540</v>
      </c>
      <c r="R186" s="42">
        <v>90</v>
      </c>
      <c r="S186" s="46">
        <f t="shared" si="13"/>
        <v>100</v>
      </c>
      <c r="T186" s="42" t="s">
        <v>161</v>
      </c>
      <c r="U186" s="44">
        <f t="shared" si="14"/>
        <v>83.95</v>
      </c>
      <c r="V186" s="42">
        <v>9</v>
      </c>
      <c r="W186" s="12"/>
    </row>
    <row r="187" spans="1:23" ht="14.25" customHeight="1" x14ac:dyDescent="0.25">
      <c r="A187" s="42" t="s">
        <v>76</v>
      </c>
      <c r="B187" s="42"/>
      <c r="C187" s="42">
        <v>21716099</v>
      </c>
      <c r="D187" s="42" t="s">
        <v>541</v>
      </c>
      <c r="E187" s="42" t="s">
        <v>514</v>
      </c>
      <c r="F187" s="42" t="s">
        <v>26</v>
      </c>
      <c r="G187" s="42" t="s">
        <v>27</v>
      </c>
      <c r="H187" s="42">
        <v>89.08</v>
      </c>
      <c r="I187" s="42">
        <f>H187/89.42*100</f>
        <v>99.619771863117862</v>
      </c>
      <c r="J187" s="42" t="s">
        <v>34</v>
      </c>
      <c r="K187" s="43"/>
      <c r="L187" s="42"/>
      <c r="M187" s="42">
        <v>0</v>
      </c>
      <c r="N187" s="44">
        <f t="shared" si="12"/>
        <v>0</v>
      </c>
      <c r="O187" s="43" t="s">
        <v>542</v>
      </c>
      <c r="P187" s="42">
        <v>5</v>
      </c>
      <c r="Q187" s="43" t="s">
        <v>543</v>
      </c>
      <c r="R187" s="42">
        <v>89</v>
      </c>
      <c r="S187" s="45">
        <f t="shared" si="13"/>
        <v>98.888888888888886</v>
      </c>
      <c r="T187" s="42" t="s">
        <v>31</v>
      </c>
      <c r="U187" s="44">
        <f t="shared" si="14"/>
        <v>83.833840304182488</v>
      </c>
      <c r="V187" s="42">
        <v>10</v>
      </c>
      <c r="W187" s="12"/>
    </row>
    <row r="188" spans="1:23" ht="14.25" customHeight="1" x14ac:dyDescent="0.25">
      <c r="A188" s="42" t="s">
        <v>32</v>
      </c>
      <c r="B188" s="42"/>
      <c r="C188" s="42">
        <v>21716072</v>
      </c>
      <c r="D188" s="42" t="s">
        <v>544</v>
      </c>
      <c r="E188" s="42" t="s">
        <v>514</v>
      </c>
      <c r="F188" s="42" t="s">
        <v>26</v>
      </c>
      <c r="G188" s="42" t="s">
        <v>27</v>
      </c>
      <c r="H188" s="42">
        <v>89.89</v>
      </c>
      <c r="I188" s="42">
        <f>H188/89.89*100</f>
        <v>100</v>
      </c>
      <c r="J188" s="42" t="s">
        <v>34</v>
      </c>
      <c r="K188" s="43"/>
      <c r="L188" s="42"/>
      <c r="M188" s="42">
        <v>0</v>
      </c>
      <c r="N188" s="44">
        <f t="shared" si="12"/>
        <v>0</v>
      </c>
      <c r="O188" s="43" t="s">
        <v>172</v>
      </c>
      <c r="P188" s="42">
        <v>5</v>
      </c>
      <c r="Q188" s="43" t="s">
        <v>545</v>
      </c>
      <c r="R188" s="42">
        <v>86</v>
      </c>
      <c r="S188" s="44">
        <f>R188/89*100</f>
        <v>96.629213483146074</v>
      </c>
      <c r="T188" s="42" t="s">
        <v>31</v>
      </c>
      <c r="U188" s="44">
        <f t="shared" si="14"/>
        <v>83.794943820224717</v>
      </c>
      <c r="V188" s="42">
        <v>11</v>
      </c>
      <c r="W188" s="12"/>
    </row>
    <row r="189" spans="1:23" ht="14.25" customHeight="1" x14ac:dyDescent="0.25">
      <c r="A189" s="42" t="s">
        <v>59</v>
      </c>
      <c r="B189" s="42"/>
      <c r="C189" s="42">
        <v>21716068</v>
      </c>
      <c r="D189" s="42" t="s">
        <v>546</v>
      </c>
      <c r="E189" s="42" t="s">
        <v>514</v>
      </c>
      <c r="F189" s="42" t="s">
        <v>547</v>
      </c>
      <c r="G189" s="42" t="s">
        <v>27</v>
      </c>
      <c r="H189" s="42">
        <v>88.73</v>
      </c>
      <c r="I189" s="42">
        <f>H189/89.7*100</f>
        <v>98.918617614269792</v>
      </c>
      <c r="J189" s="42" t="s">
        <v>34</v>
      </c>
      <c r="K189" s="43"/>
      <c r="L189" s="42"/>
      <c r="M189" s="42">
        <v>0</v>
      </c>
      <c r="N189" s="44">
        <f t="shared" si="12"/>
        <v>0</v>
      </c>
      <c r="O189" s="43" t="s">
        <v>548</v>
      </c>
      <c r="P189" s="42">
        <v>7</v>
      </c>
      <c r="Q189" s="43" t="s">
        <v>549</v>
      </c>
      <c r="R189" s="42">
        <v>90</v>
      </c>
      <c r="S189" s="46">
        <f>R189/90*100</f>
        <v>100</v>
      </c>
      <c r="T189" s="42" t="s">
        <v>1006</v>
      </c>
      <c r="U189" s="44">
        <f t="shared" si="14"/>
        <v>83.793032329988847</v>
      </c>
      <c r="V189" s="42">
        <v>12</v>
      </c>
      <c r="W189" s="20"/>
    </row>
    <row r="190" spans="1:23" ht="14.25" customHeight="1" x14ac:dyDescent="0.25">
      <c r="A190" s="42" t="s">
        <v>41</v>
      </c>
      <c r="B190" s="42"/>
      <c r="C190" s="42">
        <v>21716002</v>
      </c>
      <c r="D190" s="42" t="s">
        <v>550</v>
      </c>
      <c r="E190" s="42" t="s">
        <v>514</v>
      </c>
      <c r="F190" s="42" t="s">
        <v>26</v>
      </c>
      <c r="G190" s="42" t="s">
        <v>27</v>
      </c>
      <c r="H190" s="42">
        <v>88.5</v>
      </c>
      <c r="I190" s="42">
        <f>H190/88.5*100</f>
        <v>100</v>
      </c>
      <c r="J190" s="42" t="s">
        <v>34</v>
      </c>
      <c r="K190" s="43"/>
      <c r="L190" s="42"/>
      <c r="M190" s="42">
        <v>0</v>
      </c>
      <c r="N190" s="44">
        <f t="shared" si="12"/>
        <v>0</v>
      </c>
      <c r="O190" s="43" t="s">
        <v>551</v>
      </c>
      <c r="P190" s="42">
        <v>4</v>
      </c>
      <c r="Q190" s="43"/>
      <c r="R190" s="42">
        <v>85</v>
      </c>
      <c r="S190" s="46">
        <f>R190/89*100</f>
        <v>95.50561797752809</v>
      </c>
      <c r="T190" s="42" t="s">
        <v>31</v>
      </c>
      <c r="U190" s="44">
        <f t="shared" si="14"/>
        <v>83.493258426966293</v>
      </c>
      <c r="V190" s="42">
        <v>13</v>
      </c>
      <c r="W190" s="12"/>
    </row>
    <row r="191" spans="1:23" ht="14.25" customHeight="1" x14ac:dyDescent="0.25">
      <c r="A191" s="42" t="s">
        <v>73</v>
      </c>
      <c r="B191" s="42"/>
      <c r="C191" s="42">
        <v>21716060</v>
      </c>
      <c r="D191" s="42" t="s">
        <v>552</v>
      </c>
      <c r="E191" s="42" t="s">
        <v>514</v>
      </c>
      <c r="F191" s="42" t="s">
        <v>26</v>
      </c>
      <c r="G191" s="42" t="s">
        <v>27</v>
      </c>
      <c r="H191" s="42">
        <v>89.31</v>
      </c>
      <c r="I191" s="42">
        <f>H191/89.31*100</f>
        <v>100</v>
      </c>
      <c r="J191" s="42" t="s">
        <v>34</v>
      </c>
      <c r="K191" s="43"/>
      <c r="L191" s="42"/>
      <c r="M191" s="42">
        <v>0</v>
      </c>
      <c r="N191" s="44">
        <f t="shared" si="12"/>
        <v>0</v>
      </c>
      <c r="O191" s="43" t="s">
        <v>553</v>
      </c>
      <c r="P191" s="42">
        <v>4</v>
      </c>
      <c r="Q191" s="43" t="s">
        <v>554</v>
      </c>
      <c r="R191" s="42">
        <v>85</v>
      </c>
      <c r="S191" s="46">
        <f>(R191/90)*100</f>
        <v>94.444444444444443</v>
      </c>
      <c r="T191" s="42" t="s">
        <v>40</v>
      </c>
      <c r="U191" s="44">
        <f t="shared" si="14"/>
        <v>83.35</v>
      </c>
      <c r="V191" s="42">
        <v>14</v>
      </c>
      <c r="W191" s="12"/>
    </row>
    <row r="192" spans="1:23" ht="14.25" customHeight="1" x14ac:dyDescent="0.25">
      <c r="A192" s="42" t="s">
        <v>73</v>
      </c>
      <c r="B192" s="42"/>
      <c r="C192" s="42">
        <v>21716048</v>
      </c>
      <c r="D192" s="42" t="s">
        <v>555</v>
      </c>
      <c r="E192" s="42" t="s">
        <v>514</v>
      </c>
      <c r="F192" s="42" t="s">
        <v>26</v>
      </c>
      <c r="G192" s="42" t="s">
        <v>27</v>
      </c>
      <c r="H192" s="42">
        <v>88.77</v>
      </c>
      <c r="I192" s="42">
        <f>H192/89.31*100</f>
        <v>99.395364460866645</v>
      </c>
      <c r="J192" s="42" t="s">
        <v>34</v>
      </c>
      <c r="K192" s="43"/>
      <c r="L192" s="42"/>
      <c r="M192" s="42">
        <v>0</v>
      </c>
      <c r="N192" s="44">
        <f t="shared" si="12"/>
        <v>0</v>
      </c>
      <c r="O192" s="43" t="s">
        <v>556</v>
      </c>
      <c r="P192" s="42">
        <v>6</v>
      </c>
      <c r="Q192" s="43"/>
      <c r="R192" s="42">
        <v>85</v>
      </c>
      <c r="S192" s="46">
        <f>(R192/90)*100</f>
        <v>94.444444444444443</v>
      </c>
      <c r="T192" s="42" t="s">
        <v>40</v>
      </c>
      <c r="U192" s="44">
        <f t="shared" si="14"/>
        <v>83.226755122606647</v>
      </c>
      <c r="V192" s="42">
        <v>15</v>
      </c>
      <c r="W192" s="12"/>
    </row>
    <row r="193" spans="1:23" ht="14.25" customHeight="1" x14ac:dyDescent="0.25">
      <c r="A193" s="42" t="s">
        <v>76</v>
      </c>
      <c r="B193" s="42"/>
      <c r="C193" s="42">
        <v>21716102</v>
      </c>
      <c r="D193" s="42" t="s">
        <v>557</v>
      </c>
      <c r="E193" s="42" t="s">
        <v>514</v>
      </c>
      <c r="F193" s="42" t="s">
        <v>26</v>
      </c>
      <c r="G193" s="42" t="s">
        <v>27</v>
      </c>
      <c r="H193" s="42">
        <v>89.42</v>
      </c>
      <c r="I193" s="42">
        <f>H193/89.42*100</f>
        <v>100</v>
      </c>
      <c r="J193" s="42" t="s">
        <v>34</v>
      </c>
      <c r="K193" s="43"/>
      <c r="L193" s="42"/>
      <c r="M193" s="42">
        <v>0</v>
      </c>
      <c r="N193" s="44">
        <f t="shared" si="12"/>
        <v>0</v>
      </c>
      <c r="O193" s="43" t="s">
        <v>558</v>
      </c>
      <c r="P193" s="42">
        <v>3</v>
      </c>
      <c r="Q193" s="43"/>
      <c r="R193" s="42">
        <v>84</v>
      </c>
      <c r="S193" s="45">
        <f>R193/90*100</f>
        <v>93.333333333333329</v>
      </c>
      <c r="T193" s="42" t="s">
        <v>40</v>
      </c>
      <c r="U193" s="44">
        <f t="shared" si="14"/>
        <v>83.05</v>
      </c>
      <c r="V193" s="42">
        <v>16</v>
      </c>
      <c r="W193" s="12"/>
    </row>
    <row r="194" spans="1:23" ht="14.25" customHeight="1" x14ac:dyDescent="0.25">
      <c r="A194" s="42" t="s">
        <v>73</v>
      </c>
      <c r="B194" s="42"/>
      <c r="C194" s="42">
        <v>21716055</v>
      </c>
      <c r="D194" s="42" t="s">
        <v>559</v>
      </c>
      <c r="E194" s="42" t="s">
        <v>514</v>
      </c>
      <c r="F194" s="42" t="s">
        <v>26</v>
      </c>
      <c r="G194" s="42" t="s">
        <v>27</v>
      </c>
      <c r="H194" s="42">
        <v>89.09</v>
      </c>
      <c r="I194" s="42">
        <f>H194/89.31*100</f>
        <v>99.753667002575298</v>
      </c>
      <c r="J194" s="42" t="s">
        <v>34</v>
      </c>
      <c r="K194" s="43"/>
      <c r="L194" s="42"/>
      <c r="M194" s="42">
        <v>0</v>
      </c>
      <c r="N194" s="44">
        <f t="shared" si="12"/>
        <v>0</v>
      </c>
      <c r="O194" s="43" t="s">
        <v>560</v>
      </c>
      <c r="P194" s="42">
        <v>3</v>
      </c>
      <c r="Q194" s="43"/>
      <c r="R194" s="42">
        <v>85</v>
      </c>
      <c r="S194" s="46">
        <f>(R194/90)*100</f>
        <v>94.444444444444443</v>
      </c>
      <c r="T194" s="42" t="s">
        <v>40</v>
      </c>
      <c r="U194" s="44">
        <f t="shared" si="14"/>
        <v>83.0275669018027</v>
      </c>
      <c r="V194" s="42">
        <v>17</v>
      </c>
      <c r="W194" s="12"/>
    </row>
    <row r="195" spans="1:23" ht="14.25" customHeight="1" x14ac:dyDescent="0.25">
      <c r="A195" s="42" t="s">
        <v>73</v>
      </c>
      <c r="B195" s="42"/>
      <c r="C195" s="42">
        <v>21716052</v>
      </c>
      <c r="D195" s="42" t="s">
        <v>561</v>
      </c>
      <c r="E195" s="42" t="s">
        <v>514</v>
      </c>
      <c r="F195" s="42" t="s">
        <v>26</v>
      </c>
      <c r="G195" s="42" t="s">
        <v>27</v>
      </c>
      <c r="H195" s="42">
        <v>89</v>
      </c>
      <c r="I195" s="42">
        <f>H195/89.31*100</f>
        <v>99.652894412719746</v>
      </c>
      <c r="J195" s="42" t="s">
        <v>34</v>
      </c>
      <c r="K195" s="43"/>
      <c r="L195" s="42"/>
      <c r="M195" s="42">
        <v>0</v>
      </c>
      <c r="N195" s="44">
        <f t="shared" si="12"/>
        <v>0</v>
      </c>
      <c r="O195" s="43" t="s">
        <v>562</v>
      </c>
      <c r="P195" s="42">
        <v>3</v>
      </c>
      <c r="Q195" s="43" t="s">
        <v>563</v>
      </c>
      <c r="R195" s="42">
        <v>85</v>
      </c>
      <c r="S195" s="46">
        <f>(R195/90)*100</f>
        <v>94.444444444444443</v>
      </c>
      <c r="T195" s="42" t="s">
        <v>40</v>
      </c>
      <c r="U195" s="44">
        <f t="shared" si="14"/>
        <v>82.957026088903817</v>
      </c>
      <c r="V195" s="42">
        <v>18</v>
      </c>
      <c r="W195" s="12"/>
    </row>
    <row r="196" spans="1:23" ht="14.25" customHeight="1" x14ac:dyDescent="0.25">
      <c r="A196" s="42" t="s">
        <v>32</v>
      </c>
      <c r="B196" s="42"/>
      <c r="C196" s="42">
        <v>21716078</v>
      </c>
      <c r="D196" s="42" t="s">
        <v>564</v>
      </c>
      <c r="E196" s="42" t="s">
        <v>514</v>
      </c>
      <c r="F196" s="42" t="s">
        <v>26</v>
      </c>
      <c r="G196" s="42" t="s">
        <v>27</v>
      </c>
      <c r="H196" s="42">
        <v>88.57</v>
      </c>
      <c r="I196" s="42">
        <f>H196/89.89*100</f>
        <v>98.531538547113129</v>
      </c>
      <c r="J196" s="42" t="s">
        <v>34</v>
      </c>
      <c r="K196" s="43"/>
      <c r="L196" s="42"/>
      <c r="M196" s="42">
        <v>0</v>
      </c>
      <c r="N196" s="44">
        <f t="shared" si="12"/>
        <v>0</v>
      </c>
      <c r="O196" s="43" t="s">
        <v>565</v>
      </c>
      <c r="P196" s="42">
        <v>5</v>
      </c>
      <c r="Q196" s="43" t="s">
        <v>566</v>
      </c>
      <c r="R196" s="42">
        <v>86</v>
      </c>
      <c r="S196" s="44">
        <f>R196/89*100</f>
        <v>96.629213483146074</v>
      </c>
      <c r="T196" s="42" t="s">
        <v>31</v>
      </c>
      <c r="U196" s="44">
        <f t="shared" si="14"/>
        <v>82.767020803203906</v>
      </c>
      <c r="V196" s="42">
        <v>19</v>
      </c>
      <c r="W196" s="12"/>
    </row>
    <row r="197" spans="1:23" ht="14.25" customHeight="1" x14ac:dyDescent="0.25">
      <c r="A197" s="42" t="s">
        <v>73</v>
      </c>
      <c r="B197" s="42"/>
      <c r="C197" s="42">
        <v>21716049</v>
      </c>
      <c r="D197" s="42" t="s">
        <v>567</v>
      </c>
      <c r="E197" s="42" t="s">
        <v>514</v>
      </c>
      <c r="F197" s="42" t="s">
        <v>26</v>
      </c>
      <c r="G197" s="42" t="s">
        <v>27</v>
      </c>
      <c r="H197" s="42">
        <v>88.2</v>
      </c>
      <c r="I197" s="42">
        <f>H197/89.31*100</f>
        <v>98.757138058448106</v>
      </c>
      <c r="J197" s="42" t="s">
        <v>34</v>
      </c>
      <c r="K197" s="43"/>
      <c r="L197" s="42"/>
      <c r="M197" s="42">
        <v>0</v>
      </c>
      <c r="N197" s="44">
        <f t="shared" si="12"/>
        <v>0</v>
      </c>
      <c r="O197" s="43" t="s">
        <v>568</v>
      </c>
      <c r="P197" s="42">
        <v>5</v>
      </c>
      <c r="Q197" s="43" t="s">
        <v>569</v>
      </c>
      <c r="R197" s="42">
        <v>85</v>
      </c>
      <c r="S197" s="46">
        <f>(R197/90)*100</f>
        <v>94.444444444444443</v>
      </c>
      <c r="T197" s="42" t="s">
        <v>31</v>
      </c>
      <c r="U197" s="44">
        <f t="shared" si="14"/>
        <v>82.629996640913674</v>
      </c>
      <c r="V197" s="42">
        <v>20</v>
      </c>
      <c r="W197" s="12"/>
    </row>
    <row r="198" spans="1:23" ht="14.25" customHeight="1" x14ac:dyDescent="0.25">
      <c r="A198" s="42" t="s">
        <v>59</v>
      </c>
      <c r="B198" s="42"/>
      <c r="C198" s="42">
        <v>21716065</v>
      </c>
      <c r="D198" s="42" t="s">
        <v>570</v>
      </c>
      <c r="E198" s="42" t="s">
        <v>514</v>
      </c>
      <c r="F198" s="42" t="s">
        <v>26</v>
      </c>
      <c r="G198" s="42" t="s">
        <v>27</v>
      </c>
      <c r="H198" s="42">
        <v>87.6</v>
      </c>
      <c r="I198" s="42">
        <f>H198/89.7*100</f>
        <v>97.658862876254176</v>
      </c>
      <c r="J198" s="42" t="s">
        <v>34</v>
      </c>
      <c r="K198" s="43"/>
      <c r="L198" s="42"/>
      <c r="M198" s="42">
        <v>0</v>
      </c>
      <c r="N198" s="44">
        <f t="shared" si="12"/>
        <v>0</v>
      </c>
      <c r="O198" s="43" t="s">
        <v>571</v>
      </c>
      <c r="P198" s="42">
        <v>5</v>
      </c>
      <c r="Q198" s="43" t="s">
        <v>572</v>
      </c>
      <c r="R198" s="42">
        <v>90</v>
      </c>
      <c r="S198" s="46">
        <f>R198/90*100</f>
        <v>100</v>
      </c>
      <c r="T198" s="42" t="s">
        <v>270</v>
      </c>
      <c r="U198" s="44">
        <f t="shared" si="14"/>
        <v>82.611204013377915</v>
      </c>
      <c r="V198" s="42">
        <v>21</v>
      </c>
      <c r="W198" s="12"/>
    </row>
    <row r="199" spans="1:23" ht="14.25" customHeight="1" x14ac:dyDescent="0.25">
      <c r="A199" s="42" t="s">
        <v>59</v>
      </c>
      <c r="B199" s="42"/>
      <c r="C199" s="42">
        <v>21716062</v>
      </c>
      <c r="D199" s="42" t="s">
        <v>573</v>
      </c>
      <c r="E199" s="42" t="s">
        <v>514</v>
      </c>
      <c r="F199" s="42" t="s">
        <v>26</v>
      </c>
      <c r="G199" s="42" t="s">
        <v>27</v>
      </c>
      <c r="H199" s="42">
        <v>88.5</v>
      </c>
      <c r="I199" s="42">
        <f>H199/89.7*100</f>
        <v>98.662207357859529</v>
      </c>
      <c r="J199" s="42" t="s">
        <v>34</v>
      </c>
      <c r="K199" s="43"/>
      <c r="L199" s="42"/>
      <c r="M199" s="42">
        <v>0</v>
      </c>
      <c r="N199" s="44">
        <f t="shared" si="12"/>
        <v>0</v>
      </c>
      <c r="O199" s="43" t="s">
        <v>574</v>
      </c>
      <c r="P199" s="42">
        <v>0</v>
      </c>
      <c r="Q199" s="43" t="s">
        <v>575</v>
      </c>
      <c r="R199" s="42">
        <v>90</v>
      </c>
      <c r="S199" s="46">
        <f>R199/90*100</f>
        <v>100</v>
      </c>
      <c r="T199" s="42"/>
      <c r="U199" s="44">
        <f t="shared" si="14"/>
        <v>82.563545150501668</v>
      </c>
      <c r="V199" s="42">
        <v>22</v>
      </c>
      <c r="W199" s="12"/>
    </row>
    <row r="200" spans="1:23" ht="14.25" customHeight="1" x14ac:dyDescent="0.25">
      <c r="A200" s="42" t="s">
        <v>67</v>
      </c>
      <c r="B200" s="42"/>
      <c r="C200" s="42">
        <v>21716030</v>
      </c>
      <c r="D200" s="42" t="s">
        <v>576</v>
      </c>
      <c r="E200" s="42" t="s">
        <v>514</v>
      </c>
      <c r="F200" s="42" t="s">
        <v>26</v>
      </c>
      <c r="G200" s="42" t="s">
        <v>27</v>
      </c>
      <c r="H200" s="42">
        <v>88.64</v>
      </c>
      <c r="I200" s="42">
        <f>H200/89.9*100</f>
        <v>98.598442714126804</v>
      </c>
      <c r="J200" s="42" t="s">
        <v>34</v>
      </c>
      <c r="K200" s="43"/>
      <c r="L200" s="42"/>
      <c r="M200" s="42">
        <v>0</v>
      </c>
      <c r="N200" s="44">
        <f t="shared" si="12"/>
        <v>0</v>
      </c>
      <c r="O200" s="43"/>
      <c r="P200" s="42"/>
      <c r="Q200" s="43"/>
      <c r="R200" s="42">
        <v>90</v>
      </c>
      <c r="S200" s="45">
        <f>R200/90*100</f>
        <v>100</v>
      </c>
      <c r="T200" s="42" t="s">
        <v>40</v>
      </c>
      <c r="U200" s="44">
        <f t="shared" si="14"/>
        <v>82.518909899888754</v>
      </c>
      <c r="V200" s="42">
        <v>23</v>
      </c>
      <c r="W200" s="12"/>
    </row>
    <row r="201" spans="1:23" ht="14.25" customHeight="1" x14ac:dyDescent="0.25">
      <c r="A201" s="42" t="s">
        <v>73</v>
      </c>
      <c r="B201" s="42"/>
      <c r="C201" s="42">
        <v>21716053</v>
      </c>
      <c r="D201" s="42" t="s">
        <v>577</v>
      </c>
      <c r="E201" s="42" t="s">
        <v>514</v>
      </c>
      <c r="F201" s="42" t="s">
        <v>26</v>
      </c>
      <c r="G201" s="42" t="s">
        <v>27</v>
      </c>
      <c r="H201" s="42">
        <v>89</v>
      </c>
      <c r="I201" s="42">
        <f>H201/89.31*100</f>
        <v>99.652894412719746</v>
      </c>
      <c r="J201" s="42" t="s">
        <v>34</v>
      </c>
      <c r="K201" s="43"/>
      <c r="L201" s="42"/>
      <c r="M201" s="42">
        <v>0</v>
      </c>
      <c r="N201" s="44">
        <f t="shared" si="12"/>
        <v>0</v>
      </c>
      <c r="O201" s="43"/>
      <c r="P201" s="42">
        <v>0</v>
      </c>
      <c r="Q201" s="43" t="s">
        <v>578</v>
      </c>
      <c r="R201" s="42">
        <v>85</v>
      </c>
      <c r="S201" s="46">
        <f>(R201/90)*100</f>
        <v>94.444444444444443</v>
      </c>
      <c r="T201" s="42" t="s">
        <v>31</v>
      </c>
      <c r="U201" s="44">
        <f t="shared" si="14"/>
        <v>82.507026088903814</v>
      </c>
      <c r="V201" s="42">
        <v>24</v>
      </c>
      <c r="W201" s="12"/>
    </row>
    <row r="202" spans="1:23" ht="14.25" customHeight="1" x14ac:dyDescent="0.25">
      <c r="A202" s="42" t="s">
        <v>41</v>
      </c>
      <c r="B202" s="42"/>
      <c r="C202" s="42">
        <v>21716011</v>
      </c>
      <c r="D202" s="42" t="s">
        <v>579</v>
      </c>
      <c r="E202" s="42" t="s">
        <v>514</v>
      </c>
      <c r="F202" s="42" t="s">
        <v>26</v>
      </c>
      <c r="G202" s="42" t="s">
        <v>27</v>
      </c>
      <c r="H202" s="42">
        <v>87.2</v>
      </c>
      <c r="I202" s="42">
        <f>H202/88.5*100</f>
        <v>98.531073446327682</v>
      </c>
      <c r="J202" s="42" t="s">
        <v>34</v>
      </c>
      <c r="K202" s="51"/>
      <c r="L202" s="42"/>
      <c r="M202" s="42">
        <v>0</v>
      </c>
      <c r="N202" s="44">
        <f t="shared" si="12"/>
        <v>0</v>
      </c>
      <c r="O202" s="43" t="s">
        <v>580</v>
      </c>
      <c r="P202" s="42">
        <v>3</v>
      </c>
      <c r="Q202" s="43" t="s">
        <v>581</v>
      </c>
      <c r="R202" s="42">
        <v>86</v>
      </c>
      <c r="S202" s="46">
        <f>R202/89*100</f>
        <v>96.629213483146074</v>
      </c>
      <c r="T202" s="42" t="s">
        <v>40</v>
      </c>
      <c r="U202" s="44">
        <f t="shared" si="14"/>
        <v>82.466695232654089</v>
      </c>
      <c r="V202" s="42">
        <v>25</v>
      </c>
      <c r="W202" s="12"/>
    </row>
    <row r="203" spans="1:23" ht="14.25" customHeight="1" x14ac:dyDescent="0.25">
      <c r="A203" s="42" t="s">
        <v>41</v>
      </c>
      <c r="B203" s="42"/>
      <c r="C203" s="42">
        <v>21716012</v>
      </c>
      <c r="D203" s="42" t="s">
        <v>582</v>
      </c>
      <c r="E203" s="42" t="s">
        <v>514</v>
      </c>
      <c r="F203" s="42" t="s">
        <v>26</v>
      </c>
      <c r="G203" s="42" t="s">
        <v>27</v>
      </c>
      <c r="H203" s="42">
        <v>87.2</v>
      </c>
      <c r="I203" s="42">
        <f>H203/88.5*100</f>
        <v>98.531073446327682</v>
      </c>
      <c r="J203" s="42" t="s">
        <v>34</v>
      </c>
      <c r="K203" s="43"/>
      <c r="L203" s="42"/>
      <c r="M203" s="42">
        <v>0</v>
      </c>
      <c r="N203" s="44">
        <f t="shared" si="12"/>
        <v>0</v>
      </c>
      <c r="O203" s="43" t="s">
        <v>583</v>
      </c>
      <c r="P203" s="42">
        <v>3</v>
      </c>
      <c r="Q203" s="43" t="s">
        <v>584</v>
      </c>
      <c r="R203" s="42">
        <v>86</v>
      </c>
      <c r="S203" s="46">
        <f>R203/89*100</f>
        <v>96.629213483146074</v>
      </c>
      <c r="T203" s="42" t="s">
        <v>40</v>
      </c>
      <c r="U203" s="44">
        <f t="shared" si="14"/>
        <v>82.466695232654089</v>
      </c>
      <c r="V203" s="42">
        <v>25</v>
      </c>
      <c r="W203" s="12"/>
    </row>
    <row r="204" spans="1:23" ht="14.25" customHeight="1" x14ac:dyDescent="0.25">
      <c r="A204" s="42" t="s">
        <v>41</v>
      </c>
      <c r="B204" s="42"/>
      <c r="C204" s="42">
        <v>21716008</v>
      </c>
      <c r="D204" s="42" t="s">
        <v>585</v>
      </c>
      <c r="E204" s="42" t="s">
        <v>514</v>
      </c>
      <c r="F204" s="42" t="s">
        <v>26</v>
      </c>
      <c r="G204" s="42" t="s">
        <v>27</v>
      </c>
      <c r="H204" s="42">
        <v>86.3</v>
      </c>
      <c r="I204" s="42">
        <f>H204/88.5*100</f>
        <v>97.514124293785315</v>
      </c>
      <c r="J204" s="42" t="s">
        <v>34</v>
      </c>
      <c r="K204" s="43"/>
      <c r="L204" s="42"/>
      <c r="M204" s="42">
        <v>0</v>
      </c>
      <c r="N204" s="44">
        <f t="shared" si="12"/>
        <v>0</v>
      </c>
      <c r="O204" s="43" t="s">
        <v>586</v>
      </c>
      <c r="P204" s="42">
        <v>5</v>
      </c>
      <c r="Q204" s="43" t="s">
        <v>587</v>
      </c>
      <c r="R204" s="42">
        <v>87</v>
      </c>
      <c r="S204" s="46">
        <f>R204/89*100</f>
        <v>97.752808988764045</v>
      </c>
      <c r="T204" s="42" t="s">
        <v>40</v>
      </c>
      <c r="U204" s="44">
        <f t="shared" si="14"/>
        <v>82.206516219132865</v>
      </c>
      <c r="V204" s="42">
        <v>27</v>
      </c>
      <c r="W204" s="12"/>
    </row>
    <row r="205" spans="1:23" ht="14.25" customHeight="1" x14ac:dyDescent="0.25">
      <c r="A205" s="42" t="s">
        <v>67</v>
      </c>
      <c r="B205" s="42"/>
      <c r="C205" s="42">
        <v>21716014</v>
      </c>
      <c r="D205" s="42" t="s">
        <v>588</v>
      </c>
      <c r="E205" s="42" t="s">
        <v>514</v>
      </c>
      <c r="F205" s="42" t="s">
        <v>26</v>
      </c>
      <c r="G205" s="42" t="s">
        <v>27</v>
      </c>
      <c r="H205" s="42">
        <v>87.54</v>
      </c>
      <c r="I205" s="42">
        <f>H205/89.9*100</f>
        <v>97.374860956618477</v>
      </c>
      <c r="J205" s="42" t="s">
        <v>34</v>
      </c>
      <c r="K205" s="43"/>
      <c r="L205" s="42"/>
      <c r="M205" s="42">
        <v>0</v>
      </c>
      <c r="N205" s="44">
        <f t="shared" si="12"/>
        <v>0</v>
      </c>
      <c r="O205" s="43" t="s">
        <v>589</v>
      </c>
      <c r="P205" s="42">
        <v>3</v>
      </c>
      <c r="Q205" s="43"/>
      <c r="R205" s="42">
        <v>90</v>
      </c>
      <c r="S205" s="45">
        <f>R205/90*100</f>
        <v>100</v>
      </c>
      <c r="T205" s="42" t="s">
        <v>40</v>
      </c>
      <c r="U205" s="44">
        <f t="shared" si="14"/>
        <v>82.112402669632928</v>
      </c>
      <c r="V205" s="42">
        <v>28</v>
      </c>
      <c r="W205" s="12"/>
    </row>
    <row r="206" spans="1:23" ht="14.25" customHeight="1" x14ac:dyDescent="0.25">
      <c r="A206" s="42" t="s">
        <v>22</v>
      </c>
      <c r="B206" s="42"/>
      <c r="C206" s="42">
        <v>21716121</v>
      </c>
      <c r="D206" s="42" t="s">
        <v>590</v>
      </c>
      <c r="E206" s="42" t="s">
        <v>514</v>
      </c>
      <c r="F206" s="42" t="s">
        <v>26</v>
      </c>
      <c r="G206" s="42" t="s">
        <v>27</v>
      </c>
      <c r="H206" s="42">
        <v>84.4</v>
      </c>
      <c r="I206" s="42">
        <f>H206/86.5*100</f>
        <v>97.572254335260126</v>
      </c>
      <c r="J206" s="42" t="s">
        <v>34</v>
      </c>
      <c r="K206" s="43"/>
      <c r="L206" s="42"/>
      <c r="M206" s="42">
        <v>0</v>
      </c>
      <c r="N206" s="44">
        <f t="shared" si="12"/>
        <v>0</v>
      </c>
      <c r="O206" s="43" t="s">
        <v>591</v>
      </c>
      <c r="P206" s="42">
        <v>3</v>
      </c>
      <c r="Q206" s="43" t="s">
        <v>592</v>
      </c>
      <c r="R206" s="42">
        <v>89</v>
      </c>
      <c r="S206" s="46">
        <f>R206/90*100</f>
        <v>98.888888888888886</v>
      </c>
      <c r="T206" s="42" t="s">
        <v>40</v>
      </c>
      <c r="U206" s="44">
        <f t="shared" si="14"/>
        <v>82.100578034682087</v>
      </c>
      <c r="V206" s="42">
        <v>29</v>
      </c>
      <c r="W206" s="12"/>
    </row>
    <row r="207" spans="1:23" ht="14.25" customHeight="1" x14ac:dyDescent="0.25">
      <c r="A207" s="42" t="s">
        <v>76</v>
      </c>
      <c r="B207" s="42"/>
      <c r="C207" s="42">
        <v>21716093</v>
      </c>
      <c r="D207" s="42" t="s">
        <v>593</v>
      </c>
      <c r="E207" s="42" t="s">
        <v>514</v>
      </c>
      <c r="F207" s="42" t="s">
        <v>26</v>
      </c>
      <c r="G207" s="42" t="s">
        <v>27</v>
      </c>
      <c r="H207" s="42">
        <v>88.18</v>
      </c>
      <c r="I207" s="42">
        <f>H207/89.42*100</f>
        <v>98.613285618429884</v>
      </c>
      <c r="J207" s="42" t="s">
        <v>34</v>
      </c>
      <c r="K207" s="43"/>
      <c r="L207" s="42"/>
      <c r="M207" s="42">
        <v>0</v>
      </c>
      <c r="N207" s="44">
        <f t="shared" si="12"/>
        <v>0</v>
      </c>
      <c r="O207" s="43" t="s">
        <v>594</v>
      </c>
      <c r="P207" s="42">
        <v>1</v>
      </c>
      <c r="Q207" s="43" t="s">
        <v>595</v>
      </c>
      <c r="R207" s="42">
        <v>86</v>
      </c>
      <c r="S207" s="45">
        <f>R207/90*100</f>
        <v>95.555555555555557</v>
      </c>
      <c r="T207" s="42" t="s">
        <v>40</v>
      </c>
      <c r="U207" s="44">
        <f t="shared" si="14"/>
        <v>82.079299932900909</v>
      </c>
      <c r="V207" s="42">
        <v>30</v>
      </c>
      <c r="W207" s="12"/>
    </row>
    <row r="208" spans="1:23" ht="14.25" customHeight="1" x14ac:dyDescent="0.25">
      <c r="A208" s="42" t="s">
        <v>76</v>
      </c>
      <c r="B208" s="42"/>
      <c r="C208" s="42">
        <v>21716098</v>
      </c>
      <c r="D208" s="42" t="s">
        <v>596</v>
      </c>
      <c r="E208" s="42" t="s">
        <v>514</v>
      </c>
      <c r="F208" s="42" t="s">
        <v>26</v>
      </c>
      <c r="G208" s="42" t="s">
        <v>27</v>
      </c>
      <c r="H208" s="50" t="s">
        <v>597</v>
      </c>
      <c r="I208" s="42">
        <f>H208/89.42*100</f>
        <v>98.110042496085896</v>
      </c>
      <c r="J208" s="42" t="s">
        <v>34</v>
      </c>
      <c r="K208" s="43"/>
      <c r="L208" s="42"/>
      <c r="M208" s="42">
        <v>0</v>
      </c>
      <c r="N208" s="44">
        <f t="shared" si="12"/>
        <v>0</v>
      </c>
      <c r="O208" s="43" t="s">
        <v>598</v>
      </c>
      <c r="P208" s="42">
        <v>3</v>
      </c>
      <c r="Q208" s="43" t="s">
        <v>599</v>
      </c>
      <c r="R208" s="42">
        <v>86</v>
      </c>
      <c r="S208" s="45">
        <f>R208/90*100</f>
        <v>95.555555555555557</v>
      </c>
      <c r="T208" s="42" t="s">
        <v>40</v>
      </c>
      <c r="U208" s="44">
        <f t="shared" si="14"/>
        <v>82.027029747260116</v>
      </c>
      <c r="V208" s="42">
        <v>31</v>
      </c>
      <c r="W208" s="12"/>
    </row>
    <row r="209" spans="1:23" ht="14.25" customHeight="1" x14ac:dyDescent="0.25">
      <c r="A209" s="42" t="s">
        <v>76</v>
      </c>
      <c r="B209" s="42"/>
      <c r="C209" s="42">
        <v>21716108</v>
      </c>
      <c r="D209" s="42" t="s">
        <v>600</v>
      </c>
      <c r="E209" s="42" t="s">
        <v>514</v>
      </c>
      <c r="F209" s="42" t="s">
        <v>26</v>
      </c>
      <c r="G209" s="42" t="s">
        <v>27</v>
      </c>
      <c r="H209" s="42">
        <v>86.91</v>
      </c>
      <c r="I209" s="42">
        <f>H209/89.42*100</f>
        <v>97.193021695370163</v>
      </c>
      <c r="J209" s="42" t="s">
        <v>34</v>
      </c>
      <c r="K209" s="43"/>
      <c r="L209" s="42"/>
      <c r="M209" s="42">
        <v>0</v>
      </c>
      <c r="N209" s="44">
        <f t="shared" si="12"/>
        <v>0</v>
      </c>
      <c r="O209" s="43" t="s">
        <v>601</v>
      </c>
      <c r="P209" s="42">
        <v>6</v>
      </c>
      <c r="Q209" s="43" t="s">
        <v>602</v>
      </c>
      <c r="R209" s="42">
        <v>87</v>
      </c>
      <c r="S209" s="45">
        <f>R209/90*100</f>
        <v>96.666666666666671</v>
      </c>
      <c r="T209" s="42" t="s">
        <v>1017</v>
      </c>
      <c r="U209" s="44">
        <f t="shared" si="14"/>
        <v>81.985115186759117</v>
      </c>
      <c r="V209" s="42">
        <v>32</v>
      </c>
      <c r="W209" s="20"/>
    </row>
    <row r="210" spans="1:23" ht="14.25" customHeight="1" x14ac:dyDescent="0.25">
      <c r="A210" s="42" t="s">
        <v>32</v>
      </c>
      <c r="B210" s="42"/>
      <c r="C210" s="42">
        <v>21716076</v>
      </c>
      <c r="D210" s="42" t="s">
        <v>603</v>
      </c>
      <c r="E210" s="42" t="s">
        <v>514</v>
      </c>
      <c r="F210" s="42" t="s">
        <v>26</v>
      </c>
      <c r="G210" s="42" t="s">
        <v>27</v>
      </c>
      <c r="H210" s="42">
        <v>87</v>
      </c>
      <c r="I210" s="42">
        <f>H210/89.89*100</f>
        <v>96.784959394815886</v>
      </c>
      <c r="J210" s="42" t="s">
        <v>34</v>
      </c>
      <c r="K210" s="43"/>
      <c r="L210" s="42"/>
      <c r="M210" s="42">
        <v>0</v>
      </c>
      <c r="N210" s="44">
        <f t="shared" si="12"/>
        <v>0</v>
      </c>
      <c r="O210" s="43" t="s">
        <v>604</v>
      </c>
      <c r="P210" s="42">
        <v>8</v>
      </c>
      <c r="Q210" s="43" t="s">
        <v>605</v>
      </c>
      <c r="R210" s="42">
        <v>85</v>
      </c>
      <c r="S210" s="44">
        <f>R210/89*100</f>
        <v>95.50561797752809</v>
      </c>
      <c r="T210" s="42" t="s">
        <v>270</v>
      </c>
      <c r="U210" s="44">
        <f t="shared" si="14"/>
        <v>81.842730003337408</v>
      </c>
      <c r="V210" s="42">
        <v>33</v>
      </c>
      <c r="W210" s="12"/>
    </row>
    <row r="211" spans="1:23" ht="14.25" customHeight="1" x14ac:dyDescent="0.25">
      <c r="A211" s="42" t="s">
        <v>81</v>
      </c>
      <c r="B211" s="42"/>
      <c r="C211" s="42">
        <v>21716044</v>
      </c>
      <c r="D211" s="42" t="s">
        <v>606</v>
      </c>
      <c r="E211" s="42" t="s">
        <v>514</v>
      </c>
      <c r="F211" s="42" t="s">
        <v>26</v>
      </c>
      <c r="G211" s="42" t="s">
        <v>27</v>
      </c>
      <c r="H211" s="42">
        <v>88.1</v>
      </c>
      <c r="I211" s="42">
        <f>H211/89.67*100</f>
        <v>98.249135719861698</v>
      </c>
      <c r="J211" s="42" t="s">
        <v>34</v>
      </c>
      <c r="K211" s="43"/>
      <c r="L211" s="42"/>
      <c r="M211" s="42">
        <v>0</v>
      </c>
      <c r="N211" s="44">
        <f t="shared" si="12"/>
        <v>0</v>
      </c>
      <c r="O211" s="43" t="s">
        <v>607</v>
      </c>
      <c r="P211" s="42">
        <v>2</v>
      </c>
      <c r="Q211" s="43" t="s">
        <v>608</v>
      </c>
      <c r="R211" s="50" t="s">
        <v>235</v>
      </c>
      <c r="S211" s="45">
        <f>R211/90*100</f>
        <v>94.444444444444443</v>
      </c>
      <c r="T211" s="42" t="s">
        <v>31</v>
      </c>
      <c r="U211" s="44">
        <f t="shared" si="14"/>
        <v>81.824395003903177</v>
      </c>
      <c r="V211" s="42">
        <v>34</v>
      </c>
      <c r="W211" s="12"/>
    </row>
    <row r="212" spans="1:23" ht="14.25" customHeight="1" x14ac:dyDescent="0.25">
      <c r="A212" s="42" t="s">
        <v>73</v>
      </c>
      <c r="B212" s="42"/>
      <c r="C212" s="42">
        <v>21716056</v>
      </c>
      <c r="D212" s="42" t="s">
        <v>609</v>
      </c>
      <c r="E212" s="42" t="s">
        <v>514</v>
      </c>
      <c r="F212" s="42" t="s">
        <v>26</v>
      </c>
      <c r="G212" s="42" t="s">
        <v>27</v>
      </c>
      <c r="H212" s="42">
        <v>88.076999999999998</v>
      </c>
      <c r="I212" s="42">
        <f>H212/89.31*100</f>
        <v>98.61941551897884</v>
      </c>
      <c r="J212" s="42" t="s">
        <v>34</v>
      </c>
      <c r="K212" s="43"/>
      <c r="L212" s="42"/>
      <c r="M212" s="42">
        <v>0</v>
      </c>
      <c r="N212" s="44">
        <f t="shared" si="12"/>
        <v>0</v>
      </c>
      <c r="O212" s="43"/>
      <c r="P212" s="42">
        <v>0</v>
      </c>
      <c r="Q212" s="43"/>
      <c r="R212" s="42">
        <v>85</v>
      </c>
      <c r="S212" s="46">
        <f>(R212/90)*100</f>
        <v>94.444444444444443</v>
      </c>
      <c r="T212" s="42"/>
      <c r="U212" s="44">
        <f t="shared" si="14"/>
        <v>81.783590863285184</v>
      </c>
      <c r="V212" s="42">
        <v>35</v>
      </c>
      <c r="W212" s="12"/>
    </row>
    <row r="213" spans="1:23" ht="14.25" customHeight="1" x14ac:dyDescent="0.25">
      <c r="A213" s="42" t="s">
        <v>76</v>
      </c>
      <c r="B213" s="42"/>
      <c r="C213" s="42">
        <v>21716109</v>
      </c>
      <c r="D213" s="42" t="s">
        <v>610</v>
      </c>
      <c r="E213" s="42" t="s">
        <v>514</v>
      </c>
      <c r="F213" s="42" t="s">
        <v>26</v>
      </c>
      <c r="G213" s="42" t="s">
        <v>27</v>
      </c>
      <c r="H213" s="42">
        <v>87.36</v>
      </c>
      <c r="I213" s="42">
        <f>H213/89.42*100</f>
        <v>97.696264817714152</v>
      </c>
      <c r="J213" s="42" t="s">
        <v>34</v>
      </c>
      <c r="K213" s="43"/>
      <c r="L213" s="42"/>
      <c r="M213" s="42">
        <v>0</v>
      </c>
      <c r="N213" s="44">
        <f t="shared" si="12"/>
        <v>0</v>
      </c>
      <c r="O213" s="43" t="s">
        <v>611</v>
      </c>
      <c r="P213" s="42">
        <v>3</v>
      </c>
      <c r="Q213" s="43" t="s">
        <v>612</v>
      </c>
      <c r="R213" s="42">
        <v>86</v>
      </c>
      <c r="S213" s="45">
        <f>R213/90*100</f>
        <v>95.555555555555557</v>
      </c>
      <c r="T213" s="42"/>
      <c r="U213" s="44">
        <f t="shared" si="14"/>
        <v>81.737385372399899</v>
      </c>
      <c r="V213" s="42">
        <v>36</v>
      </c>
      <c r="W213" s="12"/>
    </row>
    <row r="214" spans="1:23" ht="14.25" customHeight="1" x14ac:dyDescent="0.25">
      <c r="A214" s="42" t="s">
        <v>41</v>
      </c>
      <c r="B214" s="42"/>
      <c r="C214" s="42">
        <v>21716010</v>
      </c>
      <c r="D214" s="42" t="s">
        <v>613</v>
      </c>
      <c r="E214" s="42" t="s">
        <v>514</v>
      </c>
      <c r="F214" s="42" t="s">
        <v>26</v>
      </c>
      <c r="G214" s="42" t="s">
        <v>27</v>
      </c>
      <c r="H214" s="42">
        <v>85.7</v>
      </c>
      <c r="I214" s="42">
        <f>H214/88.5*100</f>
        <v>96.836158192090394</v>
      </c>
      <c r="J214" s="42" t="s">
        <v>34</v>
      </c>
      <c r="K214" s="43"/>
      <c r="L214" s="42"/>
      <c r="M214" s="42">
        <v>0</v>
      </c>
      <c r="N214" s="44">
        <f t="shared" si="12"/>
        <v>0</v>
      </c>
      <c r="O214" s="43" t="s">
        <v>614</v>
      </c>
      <c r="P214" s="42">
        <v>4</v>
      </c>
      <c r="Q214" s="43"/>
      <c r="R214" s="42">
        <v>88</v>
      </c>
      <c r="S214" s="46">
        <f>R214/89*100</f>
        <v>98.876404494382015</v>
      </c>
      <c r="T214" s="42" t="s">
        <v>40</v>
      </c>
      <c r="U214" s="44">
        <f t="shared" si="14"/>
        <v>81.733625341204842</v>
      </c>
      <c r="V214" s="42">
        <v>37</v>
      </c>
      <c r="W214" s="12"/>
    </row>
    <row r="215" spans="1:23" ht="14.25" customHeight="1" x14ac:dyDescent="0.25">
      <c r="A215" s="42" t="s">
        <v>67</v>
      </c>
      <c r="B215" s="42"/>
      <c r="C215" s="42">
        <v>21716021</v>
      </c>
      <c r="D215" s="42" t="s">
        <v>615</v>
      </c>
      <c r="E215" s="42" t="s">
        <v>514</v>
      </c>
      <c r="F215" s="42" t="s">
        <v>26</v>
      </c>
      <c r="G215" s="42" t="s">
        <v>27</v>
      </c>
      <c r="H215" s="42">
        <v>86.5</v>
      </c>
      <c r="I215" s="42">
        <f>H215/89.9*100</f>
        <v>96.218020022246932</v>
      </c>
      <c r="J215" s="42" t="s">
        <v>34</v>
      </c>
      <c r="K215" s="43"/>
      <c r="L215" s="42"/>
      <c r="M215" s="42">
        <v>0</v>
      </c>
      <c r="N215" s="44">
        <f t="shared" si="12"/>
        <v>0</v>
      </c>
      <c r="O215" s="43" t="s">
        <v>616</v>
      </c>
      <c r="P215" s="42">
        <v>4</v>
      </c>
      <c r="Q215" s="43"/>
      <c r="R215" s="42">
        <v>90</v>
      </c>
      <c r="S215" s="45">
        <f>R215/90*100</f>
        <v>100</v>
      </c>
      <c r="T215" s="42" t="s">
        <v>40</v>
      </c>
      <c r="U215" s="44">
        <f t="shared" si="14"/>
        <v>81.452614015572848</v>
      </c>
      <c r="V215" s="42">
        <v>38</v>
      </c>
      <c r="W215" s="12"/>
    </row>
    <row r="216" spans="1:23" ht="14.25" customHeight="1" x14ac:dyDescent="0.25">
      <c r="A216" s="42" t="s">
        <v>67</v>
      </c>
      <c r="B216" s="42"/>
      <c r="C216" s="42">
        <v>21716032</v>
      </c>
      <c r="D216" s="42" t="s">
        <v>617</v>
      </c>
      <c r="E216" s="42" t="s">
        <v>514</v>
      </c>
      <c r="F216" s="42" t="s">
        <v>26</v>
      </c>
      <c r="G216" s="42" t="s">
        <v>27</v>
      </c>
      <c r="H216" s="42">
        <v>88.09</v>
      </c>
      <c r="I216" s="42">
        <f>H216/89.9*100</f>
        <v>97.986651835372626</v>
      </c>
      <c r="J216" s="42" t="s">
        <v>34</v>
      </c>
      <c r="K216" s="43"/>
      <c r="L216" s="42"/>
      <c r="M216" s="42">
        <v>0</v>
      </c>
      <c r="N216" s="44">
        <f t="shared" si="12"/>
        <v>0</v>
      </c>
      <c r="O216" s="43"/>
      <c r="P216" s="42"/>
      <c r="Q216" s="43"/>
      <c r="R216" s="42">
        <v>85</v>
      </c>
      <c r="S216" s="45">
        <f>R216/90*100</f>
        <v>94.444444444444443</v>
      </c>
      <c r="T216" s="42" t="s">
        <v>40</v>
      </c>
      <c r="U216" s="44">
        <f t="shared" si="14"/>
        <v>81.34065628476084</v>
      </c>
      <c r="V216" s="42">
        <v>39</v>
      </c>
      <c r="W216" s="12"/>
    </row>
    <row r="217" spans="1:23" ht="14.25" customHeight="1" x14ac:dyDescent="0.25">
      <c r="A217" s="42" t="s">
        <v>76</v>
      </c>
      <c r="B217" s="42"/>
      <c r="C217" s="42">
        <v>21716095</v>
      </c>
      <c r="D217" s="42" t="s">
        <v>618</v>
      </c>
      <c r="E217" s="42" t="s">
        <v>514</v>
      </c>
      <c r="F217" s="42" t="s">
        <v>26</v>
      </c>
      <c r="G217" s="42" t="s">
        <v>27</v>
      </c>
      <c r="H217" s="42">
        <v>85.18</v>
      </c>
      <c r="I217" s="42">
        <f>H217/89.42*100</f>
        <v>95.258331469469923</v>
      </c>
      <c r="J217" s="42" t="s">
        <v>34</v>
      </c>
      <c r="K217" s="43"/>
      <c r="L217" s="42"/>
      <c r="M217" s="42">
        <v>0</v>
      </c>
      <c r="N217" s="44">
        <f t="shared" si="12"/>
        <v>0</v>
      </c>
      <c r="O217" s="43" t="s">
        <v>619</v>
      </c>
      <c r="P217" s="42">
        <v>8</v>
      </c>
      <c r="Q217" s="43" t="s">
        <v>620</v>
      </c>
      <c r="R217" s="42">
        <v>89</v>
      </c>
      <c r="S217" s="45">
        <f>R217/90*100</f>
        <v>98.888888888888886</v>
      </c>
      <c r="T217" s="42" t="s">
        <v>270</v>
      </c>
      <c r="U217" s="44">
        <f t="shared" si="14"/>
        <v>81.230832028628939</v>
      </c>
      <c r="V217" s="42">
        <v>40</v>
      </c>
      <c r="W217" s="12"/>
    </row>
    <row r="218" spans="1:23" ht="14.25" customHeight="1" x14ac:dyDescent="0.25">
      <c r="A218" s="42" t="s">
        <v>41</v>
      </c>
      <c r="B218" s="42"/>
      <c r="C218" s="42">
        <v>21716009</v>
      </c>
      <c r="D218" s="42" t="s">
        <v>621</v>
      </c>
      <c r="E218" s="42" t="s">
        <v>514</v>
      </c>
      <c r="F218" s="42" t="s">
        <v>26</v>
      </c>
      <c r="G218" s="42" t="s">
        <v>27</v>
      </c>
      <c r="H218" s="42">
        <v>84.6</v>
      </c>
      <c r="I218" s="42">
        <f>H218/88.5*100</f>
        <v>95.593220338983045</v>
      </c>
      <c r="J218" s="42" t="s">
        <v>34</v>
      </c>
      <c r="K218" s="43"/>
      <c r="L218" s="42"/>
      <c r="M218" s="42">
        <v>0</v>
      </c>
      <c r="N218" s="44">
        <f t="shared" si="12"/>
        <v>0</v>
      </c>
      <c r="O218" s="43" t="s">
        <v>622</v>
      </c>
      <c r="P218" s="42">
        <v>6</v>
      </c>
      <c r="Q218" s="43" t="s">
        <v>623</v>
      </c>
      <c r="R218" s="42">
        <v>88</v>
      </c>
      <c r="S218" s="46">
        <f>R218/89*100</f>
        <v>98.876404494382015</v>
      </c>
      <c r="T218" s="42" t="s">
        <v>270</v>
      </c>
      <c r="U218" s="44">
        <f t="shared" si="14"/>
        <v>81.163568844029697</v>
      </c>
      <c r="V218" s="42">
        <v>41</v>
      </c>
      <c r="W218" s="12"/>
    </row>
    <row r="219" spans="1:23" ht="14.25" customHeight="1" x14ac:dyDescent="0.25">
      <c r="A219" s="42" t="s">
        <v>73</v>
      </c>
      <c r="B219" s="42"/>
      <c r="C219" s="42">
        <v>21716054</v>
      </c>
      <c r="D219" s="42" t="s">
        <v>624</v>
      </c>
      <c r="E219" s="42" t="s">
        <v>514</v>
      </c>
      <c r="F219" s="42" t="s">
        <v>26</v>
      </c>
      <c r="G219" s="42" t="s">
        <v>27</v>
      </c>
      <c r="H219" s="42">
        <v>86.461539999999999</v>
      </c>
      <c r="I219" s="42">
        <f>H219/89.31*100</f>
        <v>96.810592318889249</v>
      </c>
      <c r="J219" s="42" t="s">
        <v>34</v>
      </c>
      <c r="K219" s="43"/>
      <c r="L219" s="42"/>
      <c r="M219" s="42">
        <v>0</v>
      </c>
      <c r="N219" s="44">
        <f t="shared" si="12"/>
        <v>0</v>
      </c>
      <c r="O219" s="43" t="s">
        <v>625</v>
      </c>
      <c r="P219" s="42">
        <v>3</v>
      </c>
      <c r="Q219" s="43"/>
      <c r="R219" s="42">
        <v>85</v>
      </c>
      <c r="S219" s="46">
        <f>(R219/90)*100</f>
        <v>94.444444444444443</v>
      </c>
      <c r="T219" s="42"/>
      <c r="U219" s="44">
        <f t="shared" si="14"/>
        <v>80.967414623222467</v>
      </c>
      <c r="V219" s="42">
        <v>42</v>
      </c>
      <c r="W219" s="12"/>
    </row>
    <row r="220" spans="1:23" ht="14.25" customHeight="1" x14ac:dyDescent="0.25">
      <c r="A220" s="42" t="s">
        <v>41</v>
      </c>
      <c r="B220" s="42"/>
      <c r="C220" s="42">
        <v>21716005</v>
      </c>
      <c r="D220" s="42" t="s">
        <v>626</v>
      </c>
      <c r="E220" s="42" t="s">
        <v>514</v>
      </c>
      <c r="F220" s="42" t="s">
        <v>26</v>
      </c>
      <c r="G220" s="42" t="s">
        <v>27</v>
      </c>
      <c r="H220" s="42">
        <v>84.46</v>
      </c>
      <c r="I220" s="42">
        <f>H220/88.5*100</f>
        <v>95.435028248587557</v>
      </c>
      <c r="J220" s="42" t="s">
        <v>34</v>
      </c>
      <c r="K220" s="43"/>
      <c r="L220" s="42"/>
      <c r="M220" s="42">
        <v>0</v>
      </c>
      <c r="N220" s="44">
        <f t="shared" si="12"/>
        <v>0</v>
      </c>
      <c r="O220" s="43" t="s">
        <v>627</v>
      </c>
      <c r="P220" s="42">
        <v>5</v>
      </c>
      <c r="Q220" s="43" t="s">
        <v>628</v>
      </c>
      <c r="R220" s="42">
        <v>88</v>
      </c>
      <c r="S220" s="46">
        <f>R220/89*100</f>
        <v>98.876404494382015</v>
      </c>
      <c r="T220" s="42" t="s">
        <v>270</v>
      </c>
      <c r="U220" s="44">
        <f t="shared" si="14"/>
        <v>80.90283438075285</v>
      </c>
      <c r="V220" s="42">
        <v>43</v>
      </c>
      <c r="W220" s="12"/>
    </row>
    <row r="221" spans="1:23" ht="14.25" customHeight="1" x14ac:dyDescent="0.25">
      <c r="A221" s="42" t="s">
        <v>32</v>
      </c>
      <c r="B221" s="42"/>
      <c r="C221" s="42">
        <v>21716071</v>
      </c>
      <c r="D221" s="42" t="s">
        <v>629</v>
      </c>
      <c r="E221" s="42" t="s">
        <v>514</v>
      </c>
      <c r="F221" s="42" t="s">
        <v>26</v>
      </c>
      <c r="G221" s="42" t="s">
        <v>27</v>
      </c>
      <c r="H221" s="42">
        <v>85.32</v>
      </c>
      <c r="I221" s="42">
        <f>H221/89.89*100</f>
        <v>94.916008454778051</v>
      </c>
      <c r="J221" s="42" t="s">
        <v>34</v>
      </c>
      <c r="K221" s="43"/>
      <c r="L221" s="42"/>
      <c r="M221" s="42">
        <v>0</v>
      </c>
      <c r="N221" s="44">
        <f t="shared" si="12"/>
        <v>0</v>
      </c>
      <c r="O221" s="43" t="s">
        <v>630</v>
      </c>
      <c r="P221" s="42">
        <v>9</v>
      </c>
      <c r="Q221" s="43" t="s">
        <v>631</v>
      </c>
      <c r="R221" s="42">
        <v>86</v>
      </c>
      <c r="S221" s="44">
        <f>R221/89*100</f>
        <v>96.629213483146074</v>
      </c>
      <c r="T221" s="42" t="s">
        <v>270</v>
      </c>
      <c r="U221" s="44">
        <f t="shared" si="14"/>
        <v>80.836149738569361</v>
      </c>
      <c r="V221" s="42">
        <v>44</v>
      </c>
      <c r="W221" s="12"/>
    </row>
    <row r="222" spans="1:23" ht="14.25" customHeight="1" x14ac:dyDescent="0.25">
      <c r="A222" s="42" t="s">
        <v>67</v>
      </c>
      <c r="B222" s="42"/>
      <c r="C222" s="48">
        <v>21716016</v>
      </c>
      <c r="D222" s="42" t="s">
        <v>632</v>
      </c>
      <c r="E222" s="42" t="s">
        <v>514</v>
      </c>
      <c r="F222" s="42" t="s">
        <v>26</v>
      </c>
      <c r="G222" s="42" t="s">
        <v>27</v>
      </c>
      <c r="H222" s="42">
        <v>87.36</v>
      </c>
      <c r="I222" s="42">
        <f>H222/89.9*100</f>
        <v>97.174638487208</v>
      </c>
      <c r="J222" s="42" t="s">
        <v>34</v>
      </c>
      <c r="K222" s="43"/>
      <c r="L222" s="42"/>
      <c r="M222" s="42">
        <v>0</v>
      </c>
      <c r="N222" s="44">
        <f t="shared" si="12"/>
        <v>0</v>
      </c>
      <c r="O222" s="43"/>
      <c r="P222" s="42"/>
      <c r="Q222" s="43" t="s">
        <v>633</v>
      </c>
      <c r="R222" s="42">
        <v>85</v>
      </c>
      <c r="S222" s="45">
        <f>R222/90*100</f>
        <v>94.444444444444443</v>
      </c>
      <c r="T222" s="42" t="s">
        <v>40</v>
      </c>
      <c r="U222" s="44">
        <f t="shared" si="14"/>
        <v>80.772246941045594</v>
      </c>
      <c r="V222" s="42">
        <v>45</v>
      </c>
      <c r="W222" s="12"/>
    </row>
    <row r="223" spans="1:23" ht="14.25" customHeight="1" x14ac:dyDescent="0.25">
      <c r="A223" s="42" t="s">
        <v>76</v>
      </c>
      <c r="B223" s="42"/>
      <c r="C223" s="42">
        <v>21716091</v>
      </c>
      <c r="D223" s="42" t="s">
        <v>634</v>
      </c>
      <c r="E223" s="42" t="s">
        <v>514</v>
      </c>
      <c r="F223" s="42" t="s">
        <v>26</v>
      </c>
      <c r="G223" s="42" t="s">
        <v>27</v>
      </c>
      <c r="H223" s="42">
        <v>86.27</v>
      </c>
      <c r="I223" s="42">
        <f>H223/89.42*100</f>
        <v>96.477298143592023</v>
      </c>
      <c r="J223" s="42" t="s">
        <v>34</v>
      </c>
      <c r="K223" s="43"/>
      <c r="L223" s="42"/>
      <c r="M223" s="42">
        <v>0</v>
      </c>
      <c r="N223" s="44">
        <f t="shared" si="12"/>
        <v>0</v>
      </c>
      <c r="O223" s="43" t="s">
        <v>635</v>
      </c>
      <c r="P223" s="42">
        <v>3</v>
      </c>
      <c r="Q223" s="43" t="s">
        <v>636</v>
      </c>
      <c r="R223" s="42">
        <v>85</v>
      </c>
      <c r="S223" s="45">
        <f>R223/90*100</f>
        <v>94.444444444444443</v>
      </c>
      <c r="T223" s="42"/>
      <c r="U223" s="44">
        <f t="shared" si="14"/>
        <v>80.734108700514412</v>
      </c>
      <c r="V223" s="42">
        <v>46</v>
      </c>
      <c r="W223" s="12"/>
    </row>
    <row r="224" spans="1:23" ht="14.25" customHeight="1" x14ac:dyDescent="0.25">
      <c r="A224" s="42" t="s">
        <v>67</v>
      </c>
      <c r="B224" s="42"/>
      <c r="C224" s="42">
        <v>21716020</v>
      </c>
      <c r="D224" s="42" t="s">
        <v>637</v>
      </c>
      <c r="E224" s="42" t="s">
        <v>514</v>
      </c>
      <c r="F224" s="42" t="s">
        <v>26</v>
      </c>
      <c r="G224" s="42" t="s">
        <v>27</v>
      </c>
      <c r="H224" s="42">
        <v>87.6</v>
      </c>
      <c r="I224" s="42">
        <f>H224/89.9*100</f>
        <v>97.441601779755274</v>
      </c>
      <c r="J224" s="42" t="s">
        <v>34</v>
      </c>
      <c r="K224" s="43"/>
      <c r="L224" s="42"/>
      <c r="M224" s="42">
        <v>0</v>
      </c>
      <c r="N224" s="44">
        <f t="shared" si="12"/>
        <v>0</v>
      </c>
      <c r="O224" s="43" t="s">
        <v>638</v>
      </c>
      <c r="P224" s="42">
        <v>3</v>
      </c>
      <c r="Q224" s="43" t="s">
        <v>639</v>
      </c>
      <c r="R224" s="42">
        <v>80</v>
      </c>
      <c r="S224" s="45">
        <f>R224/90*100</f>
        <v>88.888888888888886</v>
      </c>
      <c r="T224" s="42" t="s">
        <v>1006</v>
      </c>
      <c r="U224" s="44">
        <f t="shared" si="14"/>
        <v>80.659121245828686</v>
      </c>
      <c r="V224" s="42">
        <v>47</v>
      </c>
      <c r="W224" s="20"/>
    </row>
    <row r="225" spans="1:23" ht="14.25" customHeight="1" x14ac:dyDescent="0.25">
      <c r="A225" s="42" t="s">
        <v>67</v>
      </c>
      <c r="B225" s="42"/>
      <c r="C225" s="42">
        <v>21716017</v>
      </c>
      <c r="D225" s="42" t="s">
        <v>640</v>
      </c>
      <c r="E225" s="42" t="s">
        <v>514</v>
      </c>
      <c r="F225" s="42" t="s">
        <v>26</v>
      </c>
      <c r="G225" s="42" t="s">
        <v>27</v>
      </c>
      <c r="H225" s="42">
        <v>86.18</v>
      </c>
      <c r="I225" s="42">
        <f>H225/89.9*100</f>
        <v>95.862068965517238</v>
      </c>
      <c r="J225" s="42" t="s">
        <v>34</v>
      </c>
      <c r="K225" s="43"/>
      <c r="L225" s="42"/>
      <c r="M225" s="42">
        <v>0</v>
      </c>
      <c r="N225" s="44">
        <f t="shared" si="12"/>
        <v>0</v>
      </c>
      <c r="O225" s="43" t="s">
        <v>641</v>
      </c>
      <c r="P225" s="42"/>
      <c r="Q225" s="43"/>
      <c r="R225" s="42">
        <v>90</v>
      </c>
      <c r="S225" s="45">
        <f>R225/90*100</f>
        <v>100</v>
      </c>
      <c r="T225" s="42"/>
      <c r="U225" s="44">
        <f t="shared" si="14"/>
        <v>80.603448275862064</v>
      </c>
      <c r="V225" s="42">
        <v>48</v>
      </c>
      <c r="W225" s="12"/>
    </row>
    <row r="226" spans="1:23" ht="14.25" customHeight="1" x14ac:dyDescent="0.25">
      <c r="A226" s="42" t="s">
        <v>32</v>
      </c>
      <c r="B226" s="42"/>
      <c r="C226" s="42">
        <v>21716077</v>
      </c>
      <c r="D226" s="42" t="s">
        <v>642</v>
      </c>
      <c r="E226" s="42" t="s">
        <v>514</v>
      </c>
      <c r="F226" s="42" t="s">
        <v>26</v>
      </c>
      <c r="G226" s="42" t="s">
        <v>27</v>
      </c>
      <c r="H226" s="42">
        <v>86.32</v>
      </c>
      <c r="I226" s="42">
        <f>H226/89.89*100</f>
        <v>96.028479252419615</v>
      </c>
      <c r="J226" s="42" t="s">
        <v>34</v>
      </c>
      <c r="K226" s="43"/>
      <c r="L226" s="42"/>
      <c r="M226" s="42">
        <v>0</v>
      </c>
      <c r="N226" s="44">
        <f t="shared" si="12"/>
        <v>0</v>
      </c>
      <c r="O226" s="43" t="s">
        <v>643</v>
      </c>
      <c r="P226" s="42">
        <v>2</v>
      </c>
      <c r="Q226" s="43" t="s">
        <v>644</v>
      </c>
      <c r="R226" s="42">
        <v>86</v>
      </c>
      <c r="S226" s="44">
        <f>R226/89*100</f>
        <v>96.629213483146074</v>
      </c>
      <c r="T226" s="42" t="s">
        <v>40</v>
      </c>
      <c r="U226" s="44">
        <f t="shared" si="14"/>
        <v>80.564879296918434</v>
      </c>
      <c r="V226" s="42">
        <v>49</v>
      </c>
      <c r="W226" s="12"/>
    </row>
    <row r="227" spans="1:23" ht="14.25" customHeight="1" x14ac:dyDescent="0.25">
      <c r="A227" s="42" t="s">
        <v>81</v>
      </c>
      <c r="B227" s="42"/>
      <c r="C227" s="42">
        <v>21716045</v>
      </c>
      <c r="D227" s="42" t="s">
        <v>645</v>
      </c>
      <c r="E227" s="42" t="s">
        <v>514</v>
      </c>
      <c r="F227" s="42" t="s">
        <v>26</v>
      </c>
      <c r="G227" s="42" t="s">
        <v>27</v>
      </c>
      <c r="H227" s="42">
        <v>84.73</v>
      </c>
      <c r="I227" s="42">
        <f>H227/89.67*100</f>
        <v>94.490911118545782</v>
      </c>
      <c r="J227" s="42" t="s">
        <v>34</v>
      </c>
      <c r="K227" s="43"/>
      <c r="L227" s="42"/>
      <c r="M227" s="42">
        <v>0</v>
      </c>
      <c r="N227" s="44">
        <f t="shared" si="12"/>
        <v>0</v>
      </c>
      <c r="O227" s="43" t="s">
        <v>646</v>
      </c>
      <c r="P227" s="42">
        <v>8</v>
      </c>
      <c r="Q227" s="43" t="s">
        <v>647</v>
      </c>
      <c r="R227" s="50" t="s">
        <v>648</v>
      </c>
      <c r="S227" s="45">
        <f>R227/90*100</f>
        <v>96.666666666666671</v>
      </c>
      <c r="T227" s="42" t="s">
        <v>161</v>
      </c>
      <c r="U227" s="44">
        <f t="shared" si="14"/>
        <v>80.39363778298204</v>
      </c>
      <c r="V227" s="42">
        <v>50</v>
      </c>
      <c r="W227" s="12"/>
    </row>
    <row r="228" spans="1:23" ht="14.25" customHeight="1" x14ac:dyDescent="0.25">
      <c r="A228" s="42" t="s">
        <v>76</v>
      </c>
      <c r="B228" s="42"/>
      <c r="C228" s="42">
        <v>21716096</v>
      </c>
      <c r="D228" s="42" t="s">
        <v>649</v>
      </c>
      <c r="E228" s="42" t="s">
        <v>514</v>
      </c>
      <c r="F228" s="42" t="s">
        <v>26</v>
      </c>
      <c r="G228" s="42" t="s">
        <v>27</v>
      </c>
      <c r="H228" s="42">
        <v>85.36</v>
      </c>
      <c r="I228" s="42">
        <f>H228/89.42*100</f>
        <v>95.459628718407501</v>
      </c>
      <c r="J228" s="42" t="s">
        <v>34</v>
      </c>
      <c r="K228" s="43"/>
      <c r="L228" s="42"/>
      <c r="M228" s="42">
        <v>0</v>
      </c>
      <c r="N228" s="44">
        <f t="shared" si="12"/>
        <v>0</v>
      </c>
      <c r="O228" s="43" t="s">
        <v>650</v>
      </c>
      <c r="P228" s="42">
        <v>4</v>
      </c>
      <c r="Q228" s="43" t="s">
        <v>651</v>
      </c>
      <c r="R228" s="42">
        <v>86</v>
      </c>
      <c r="S228" s="45">
        <f>R228/90*100</f>
        <v>95.555555555555557</v>
      </c>
      <c r="T228" s="42"/>
      <c r="U228" s="44">
        <f t="shared" si="14"/>
        <v>80.321740102885244</v>
      </c>
      <c r="V228" s="42">
        <v>51</v>
      </c>
      <c r="W228" s="12"/>
    </row>
    <row r="229" spans="1:23" ht="14.25" customHeight="1" x14ac:dyDescent="0.25">
      <c r="A229" s="42" t="s">
        <v>67</v>
      </c>
      <c r="B229" s="42"/>
      <c r="C229" s="42">
        <v>21716026</v>
      </c>
      <c r="D229" s="42" t="s">
        <v>652</v>
      </c>
      <c r="E229" s="42" t="s">
        <v>514</v>
      </c>
      <c r="F229" s="42" t="s">
        <v>26</v>
      </c>
      <c r="G229" s="42" t="s">
        <v>27</v>
      </c>
      <c r="H229" s="42">
        <v>85.54</v>
      </c>
      <c r="I229" s="42">
        <f>H229/89.9*100</f>
        <v>95.150166852057836</v>
      </c>
      <c r="J229" s="42" t="s">
        <v>34</v>
      </c>
      <c r="K229" s="43"/>
      <c r="L229" s="42"/>
      <c r="M229" s="42">
        <v>0</v>
      </c>
      <c r="N229" s="44">
        <f t="shared" si="12"/>
        <v>0</v>
      </c>
      <c r="O229" s="43" t="s">
        <v>653</v>
      </c>
      <c r="P229" s="42">
        <v>6</v>
      </c>
      <c r="Q229" s="43" t="s">
        <v>654</v>
      </c>
      <c r="R229" s="42">
        <v>85</v>
      </c>
      <c r="S229" s="45">
        <f>R229/90*100</f>
        <v>94.444444444444443</v>
      </c>
      <c r="T229" s="42" t="s">
        <v>1007</v>
      </c>
      <c r="U229" s="44">
        <f t="shared" si="14"/>
        <v>80.25511679644049</v>
      </c>
      <c r="V229" s="42">
        <v>52</v>
      </c>
      <c r="W229" s="20"/>
    </row>
    <row r="230" spans="1:23" ht="14.25" customHeight="1" x14ac:dyDescent="0.25">
      <c r="A230" s="42" t="s">
        <v>76</v>
      </c>
      <c r="B230" s="42"/>
      <c r="C230" s="42">
        <v>21716112</v>
      </c>
      <c r="D230" s="42" t="s">
        <v>655</v>
      </c>
      <c r="E230" s="42" t="s">
        <v>514</v>
      </c>
      <c r="F230" s="42" t="s">
        <v>26</v>
      </c>
      <c r="G230" s="42" t="s">
        <v>27</v>
      </c>
      <c r="H230" s="42">
        <v>84.64</v>
      </c>
      <c r="I230" s="42">
        <f>H230/89.42*100</f>
        <v>94.654439722657131</v>
      </c>
      <c r="J230" s="42" t="s">
        <v>34</v>
      </c>
      <c r="K230" s="43"/>
      <c r="L230" s="42"/>
      <c r="M230" s="42">
        <v>0</v>
      </c>
      <c r="N230" s="44">
        <f t="shared" si="12"/>
        <v>0</v>
      </c>
      <c r="O230" s="43" t="s">
        <v>656</v>
      </c>
      <c r="P230" s="42">
        <v>7</v>
      </c>
      <c r="Q230" s="43" t="s">
        <v>657</v>
      </c>
      <c r="R230" s="42">
        <v>86</v>
      </c>
      <c r="S230" s="45">
        <f>R230/90*100</f>
        <v>95.555555555555557</v>
      </c>
      <c r="T230" s="42" t="s">
        <v>270</v>
      </c>
      <c r="U230" s="44">
        <f t="shared" si="14"/>
        <v>80.208107805859996</v>
      </c>
      <c r="V230" s="42">
        <v>53</v>
      </c>
      <c r="W230" s="12"/>
    </row>
    <row r="231" spans="1:23" ht="14.25" customHeight="1" x14ac:dyDescent="0.25">
      <c r="A231" s="42" t="s">
        <v>41</v>
      </c>
      <c r="B231" s="42"/>
      <c r="C231" s="42">
        <v>21716013</v>
      </c>
      <c r="D231" s="42" t="s">
        <v>658</v>
      </c>
      <c r="E231" s="42" t="s">
        <v>514</v>
      </c>
      <c r="F231" s="42" t="s">
        <v>26</v>
      </c>
      <c r="G231" s="42" t="s">
        <v>27</v>
      </c>
      <c r="H231" s="42">
        <v>84.53</v>
      </c>
      <c r="I231" s="42">
        <f>H231/88.5*100</f>
        <v>95.514124293785301</v>
      </c>
      <c r="J231" s="42" t="s">
        <v>34</v>
      </c>
      <c r="K231" s="43"/>
      <c r="L231" s="42"/>
      <c r="M231" s="42">
        <v>0</v>
      </c>
      <c r="N231" s="44">
        <f t="shared" si="12"/>
        <v>0</v>
      </c>
      <c r="O231" s="43" t="s">
        <v>659</v>
      </c>
      <c r="P231" s="42">
        <v>3</v>
      </c>
      <c r="Q231" s="43" t="s">
        <v>660</v>
      </c>
      <c r="R231" s="42">
        <v>85</v>
      </c>
      <c r="S231" s="46">
        <f>R231/89*100</f>
        <v>95.50561797752809</v>
      </c>
      <c r="T231" s="42"/>
      <c r="U231" s="44">
        <f t="shared" si="14"/>
        <v>80.203145432615997</v>
      </c>
      <c r="V231" s="42">
        <v>54</v>
      </c>
      <c r="W231" s="12"/>
    </row>
    <row r="232" spans="1:23" ht="14.25" customHeight="1" x14ac:dyDescent="0.25">
      <c r="A232" s="42" t="s">
        <v>76</v>
      </c>
      <c r="B232" s="42"/>
      <c r="C232" s="42">
        <v>21716104</v>
      </c>
      <c r="D232" s="42" t="s">
        <v>661</v>
      </c>
      <c r="E232" s="42" t="s">
        <v>514</v>
      </c>
      <c r="F232" s="42" t="s">
        <v>26</v>
      </c>
      <c r="G232" s="42" t="s">
        <v>27</v>
      </c>
      <c r="H232" s="42">
        <v>85.36</v>
      </c>
      <c r="I232" s="42">
        <f>H232/89.42*100</f>
        <v>95.459628718407501</v>
      </c>
      <c r="J232" s="42" t="s">
        <v>34</v>
      </c>
      <c r="K232" s="43"/>
      <c r="L232" s="42"/>
      <c r="M232" s="42">
        <v>0</v>
      </c>
      <c r="N232" s="44">
        <f t="shared" si="12"/>
        <v>0</v>
      </c>
      <c r="O232" s="43" t="s">
        <v>662</v>
      </c>
      <c r="P232" s="42">
        <v>3</v>
      </c>
      <c r="Q232" s="43" t="s">
        <v>663</v>
      </c>
      <c r="R232" s="42">
        <v>85</v>
      </c>
      <c r="S232" s="45">
        <f>R232/90*100</f>
        <v>94.444444444444443</v>
      </c>
      <c r="T232" s="42"/>
      <c r="U232" s="44">
        <f t="shared" si="14"/>
        <v>80.021740102885246</v>
      </c>
      <c r="V232" s="42">
        <v>55</v>
      </c>
      <c r="W232" s="12"/>
    </row>
    <row r="233" spans="1:23" ht="14.25" customHeight="1" x14ac:dyDescent="0.25">
      <c r="A233" s="42" t="s">
        <v>32</v>
      </c>
      <c r="B233" s="42"/>
      <c r="C233" s="42">
        <v>21716088</v>
      </c>
      <c r="D233" s="42" t="s">
        <v>664</v>
      </c>
      <c r="E233" s="42" t="s">
        <v>514</v>
      </c>
      <c r="F233" s="42" t="s">
        <v>26</v>
      </c>
      <c r="G233" s="42" t="s">
        <v>27</v>
      </c>
      <c r="H233" s="42">
        <v>85.4</v>
      </c>
      <c r="I233" s="42">
        <f>H233/89.89*100</f>
        <v>95.005006118589392</v>
      </c>
      <c r="J233" s="42" t="s">
        <v>34</v>
      </c>
      <c r="K233" s="43"/>
      <c r="L233" s="42"/>
      <c r="M233" s="42">
        <v>0</v>
      </c>
      <c r="N233" s="44">
        <f t="shared" si="12"/>
        <v>0</v>
      </c>
      <c r="O233" s="43" t="s">
        <v>665</v>
      </c>
      <c r="P233" s="42">
        <v>4</v>
      </c>
      <c r="Q233" s="43" t="s">
        <v>666</v>
      </c>
      <c r="R233" s="42">
        <v>85</v>
      </c>
      <c r="S233" s="44">
        <f>R233/89*100</f>
        <v>95.50561797752809</v>
      </c>
      <c r="T233" s="42" t="s">
        <v>40</v>
      </c>
      <c r="U233" s="44">
        <f t="shared" si="14"/>
        <v>79.996762709978867</v>
      </c>
      <c r="V233" s="42">
        <v>56</v>
      </c>
      <c r="W233" s="12"/>
    </row>
    <row r="234" spans="1:23" ht="14.25" customHeight="1" x14ac:dyDescent="0.25">
      <c r="A234" s="42" t="s">
        <v>73</v>
      </c>
      <c r="B234" s="42"/>
      <c r="C234" s="42">
        <v>21716047</v>
      </c>
      <c r="D234" s="42" t="s">
        <v>667</v>
      </c>
      <c r="E234" s="42" t="s">
        <v>514</v>
      </c>
      <c r="F234" s="42" t="s">
        <v>26</v>
      </c>
      <c r="G234" s="42" t="s">
        <v>27</v>
      </c>
      <c r="H234" s="42">
        <v>84.67</v>
      </c>
      <c r="I234" s="42">
        <f>H234/89.31*100</f>
        <v>94.804613145224508</v>
      </c>
      <c r="J234" s="42" t="s">
        <v>34</v>
      </c>
      <c r="K234" s="43"/>
      <c r="L234" s="42"/>
      <c r="M234" s="42">
        <v>0</v>
      </c>
      <c r="N234" s="44">
        <f t="shared" si="12"/>
        <v>0</v>
      </c>
      <c r="O234" s="43" t="s">
        <v>668</v>
      </c>
      <c r="P234" s="42">
        <v>4</v>
      </c>
      <c r="Q234" s="43" t="s">
        <v>669</v>
      </c>
      <c r="R234" s="42">
        <v>85</v>
      </c>
      <c r="S234" s="46">
        <f>(R234/90)*100</f>
        <v>94.444444444444443</v>
      </c>
      <c r="T234" s="42"/>
      <c r="U234" s="44">
        <f t="shared" si="14"/>
        <v>79.713229201657143</v>
      </c>
      <c r="V234" s="42">
        <v>57</v>
      </c>
      <c r="W234" s="12"/>
    </row>
    <row r="235" spans="1:23" ht="14.25" customHeight="1" x14ac:dyDescent="0.25">
      <c r="A235" s="42" t="s">
        <v>32</v>
      </c>
      <c r="B235" s="42"/>
      <c r="C235" s="42">
        <v>21716082</v>
      </c>
      <c r="D235" s="42" t="s">
        <v>670</v>
      </c>
      <c r="E235" s="42" t="s">
        <v>514</v>
      </c>
      <c r="F235" s="42" t="s">
        <v>26</v>
      </c>
      <c r="G235" s="42" t="s">
        <v>27</v>
      </c>
      <c r="H235" s="42">
        <v>85.16</v>
      </c>
      <c r="I235" s="42">
        <f>H235/89.89*100</f>
        <v>94.738013127155412</v>
      </c>
      <c r="J235" s="42" t="s">
        <v>34</v>
      </c>
      <c r="K235" s="43"/>
      <c r="L235" s="42"/>
      <c r="M235" s="42">
        <v>0</v>
      </c>
      <c r="N235" s="44">
        <f t="shared" si="12"/>
        <v>0</v>
      </c>
      <c r="O235" s="43" t="s">
        <v>671</v>
      </c>
      <c r="P235" s="42">
        <v>2</v>
      </c>
      <c r="Q235" s="43" t="s">
        <v>672</v>
      </c>
      <c r="R235" s="42">
        <v>85</v>
      </c>
      <c r="S235" s="44">
        <f>R235/89*100</f>
        <v>95.50561797752809</v>
      </c>
      <c r="T235" s="42" t="s">
        <v>40</v>
      </c>
      <c r="U235" s="44">
        <f t="shared" si="14"/>
        <v>79.509867615975082</v>
      </c>
      <c r="V235" s="42">
        <v>58</v>
      </c>
      <c r="W235" s="12"/>
    </row>
    <row r="236" spans="1:23" ht="14.25" customHeight="1" x14ac:dyDescent="0.25">
      <c r="A236" s="42" t="s">
        <v>32</v>
      </c>
      <c r="B236" s="42"/>
      <c r="C236" s="42">
        <v>21716089</v>
      </c>
      <c r="D236" s="42" t="s">
        <v>673</v>
      </c>
      <c r="E236" s="42" t="s">
        <v>514</v>
      </c>
      <c r="F236" s="42" t="s">
        <v>26</v>
      </c>
      <c r="G236" s="42" t="s">
        <v>27</v>
      </c>
      <c r="H236" s="42">
        <v>85.12</v>
      </c>
      <c r="I236" s="42">
        <f>H236/89.89*100</f>
        <v>94.693514295249756</v>
      </c>
      <c r="J236" s="42" t="s">
        <v>34</v>
      </c>
      <c r="K236" s="43"/>
      <c r="L236" s="42"/>
      <c r="M236" s="42">
        <v>0</v>
      </c>
      <c r="N236" s="44">
        <f t="shared" si="12"/>
        <v>0</v>
      </c>
      <c r="O236" s="43" t="s">
        <v>483</v>
      </c>
      <c r="P236" s="42">
        <v>2</v>
      </c>
      <c r="Q236" s="43" t="s">
        <v>47</v>
      </c>
      <c r="R236" s="42">
        <v>84</v>
      </c>
      <c r="S236" s="44">
        <f>R236/89*100</f>
        <v>94.382022471910105</v>
      </c>
      <c r="T236" s="42" t="s">
        <v>40</v>
      </c>
      <c r="U236" s="44">
        <f t="shared" si="14"/>
        <v>79.327033040382688</v>
      </c>
      <c r="V236" s="42">
        <v>59</v>
      </c>
      <c r="W236" s="12"/>
    </row>
    <row r="237" spans="1:23" ht="14.25" customHeight="1" x14ac:dyDescent="0.25">
      <c r="A237" s="42" t="s">
        <v>76</v>
      </c>
      <c r="B237" s="42"/>
      <c r="C237" s="42">
        <v>21716094</v>
      </c>
      <c r="D237" s="42" t="s">
        <v>674</v>
      </c>
      <c r="E237" s="42" t="s">
        <v>514</v>
      </c>
      <c r="F237" s="42" t="s">
        <v>26</v>
      </c>
      <c r="G237" s="42" t="s">
        <v>27</v>
      </c>
      <c r="H237" s="42">
        <v>84.36</v>
      </c>
      <c r="I237" s="42">
        <f>H237/89.42*100</f>
        <v>94.34131066875419</v>
      </c>
      <c r="J237" s="42" t="s">
        <v>34</v>
      </c>
      <c r="K237" s="43"/>
      <c r="L237" s="42"/>
      <c r="M237" s="42">
        <v>0</v>
      </c>
      <c r="N237" s="44">
        <f t="shared" si="12"/>
        <v>0</v>
      </c>
      <c r="O237" s="43" t="s">
        <v>483</v>
      </c>
      <c r="P237" s="42">
        <v>3</v>
      </c>
      <c r="Q237" s="43" t="s">
        <v>675</v>
      </c>
      <c r="R237" s="42">
        <v>85</v>
      </c>
      <c r="S237" s="45">
        <f>R237/90*100</f>
        <v>94.444444444444443</v>
      </c>
      <c r="T237" s="42"/>
      <c r="U237" s="44">
        <f t="shared" si="14"/>
        <v>79.238917468127937</v>
      </c>
      <c r="V237" s="42">
        <v>60</v>
      </c>
      <c r="W237" s="12"/>
    </row>
    <row r="238" spans="1:23" ht="14.25" customHeight="1" x14ac:dyDescent="0.25">
      <c r="A238" s="42" t="s">
        <v>32</v>
      </c>
      <c r="B238" s="42"/>
      <c r="C238" s="42">
        <v>21716073</v>
      </c>
      <c r="D238" s="42" t="s">
        <v>676</v>
      </c>
      <c r="E238" s="42" t="s">
        <v>514</v>
      </c>
      <c r="F238" s="42" t="s">
        <v>26</v>
      </c>
      <c r="G238" s="42" t="s">
        <v>27</v>
      </c>
      <c r="H238" s="42">
        <v>83.47</v>
      </c>
      <c r="I238" s="42">
        <f>H238/89.89*100</f>
        <v>92.857937479141171</v>
      </c>
      <c r="J238" s="42" t="s">
        <v>34</v>
      </c>
      <c r="K238" s="43"/>
      <c r="L238" s="42"/>
      <c r="M238" s="42">
        <v>0</v>
      </c>
      <c r="N238" s="44">
        <f t="shared" si="12"/>
        <v>0</v>
      </c>
      <c r="O238" s="43" t="s">
        <v>677</v>
      </c>
      <c r="P238" s="42">
        <v>8</v>
      </c>
      <c r="Q238" s="43" t="s">
        <v>678</v>
      </c>
      <c r="R238" s="42">
        <v>85</v>
      </c>
      <c r="S238" s="44">
        <f>R238/89*100</f>
        <v>95.50561797752809</v>
      </c>
      <c r="T238" s="42" t="s">
        <v>270</v>
      </c>
      <c r="U238" s="44">
        <f t="shared" si="14"/>
        <v>79.093814662365105</v>
      </c>
      <c r="V238" s="42">
        <v>61</v>
      </c>
      <c r="W238" s="12"/>
    </row>
    <row r="239" spans="1:23" ht="14.25" customHeight="1" x14ac:dyDescent="0.25">
      <c r="A239" s="42" t="s">
        <v>76</v>
      </c>
      <c r="B239" s="42"/>
      <c r="C239" s="42">
        <v>21716107</v>
      </c>
      <c r="D239" s="42" t="s">
        <v>679</v>
      </c>
      <c r="E239" s="42" t="s">
        <v>514</v>
      </c>
      <c r="F239" s="42" t="s">
        <v>26</v>
      </c>
      <c r="G239" s="42" t="s">
        <v>27</v>
      </c>
      <c r="H239" s="42">
        <v>83.55</v>
      </c>
      <c r="I239" s="42">
        <f>H239/89.42*100</f>
        <v>93.435473048535002</v>
      </c>
      <c r="J239" s="42" t="s">
        <v>34</v>
      </c>
      <c r="K239" s="43"/>
      <c r="L239" s="42"/>
      <c r="M239" s="42">
        <v>0</v>
      </c>
      <c r="N239" s="44">
        <f t="shared" si="12"/>
        <v>0</v>
      </c>
      <c r="O239" s="43" t="s">
        <v>680</v>
      </c>
      <c r="P239" s="42">
        <v>5</v>
      </c>
      <c r="Q239" s="43" t="s">
        <v>681</v>
      </c>
      <c r="R239" s="42">
        <v>86</v>
      </c>
      <c r="S239" s="45">
        <f t="shared" ref="S239:S244" si="15">R239/90*100</f>
        <v>95.555555555555557</v>
      </c>
      <c r="T239" s="42" t="s">
        <v>1006</v>
      </c>
      <c r="U239" s="44">
        <f t="shared" si="14"/>
        <v>79.054831133974503</v>
      </c>
      <c r="V239" s="42">
        <v>62</v>
      </c>
      <c r="W239" s="20"/>
    </row>
    <row r="240" spans="1:23" ht="14.25" customHeight="1" x14ac:dyDescent="0.25">
      <c r="A240" s="42" t="s">
        <v>67</v>
      </c>
      <c r="B240" s="42"/>
      <c r="C240" s="42">
        <v>21716027</v>
      </c>
      <c r="D240" s="42" t="s">
        <v>682</v>
      </c>
      <c r="E240" s="42" t="s">
        <v>514</v>
      </c>
      <c r="F240" s="42" t="s">
        <v>26</v>
      </c>
      <c r="G240" s="42" t="s">
        <v>27</v>
      </c>
      <c r="H240" s="42">
        <v>84.36</v>
      </c>
      <c r="I240" s="42">
        <f>H240/89.9*100</f>
        <v>93.837597330367075</v>
      </c>
      <c r="J240" s="42" t="s">
        <v>34</v>
      </c>
      <c r="K240" s="43"/>
      <c r="L240" s="42"/>
      <c r="M240" s="42">
        <v>0</v>
      </c>
      <c r="N240" s="44">
        <f t="shared" si="12"/>
        <v>0</v>
      </c>
      <c r="O240" s="43" t="s">
        <v>683</v>
      </c>
      <c r="P240" s="42">
        <v>4</v>
      </c>
      <c r="Q240" s="43"/>
      <c r="R240" s="42">
        <v>85</v>
      </c>
      <c r="S240" s="45">
        <f t="shared" si="15"/>
        <v>94.444444444444443</v>
      </c>
      <c r="T240" s="42"/>
      <c r="U240" s="44">
        <f t="shared" si="14"/>
        <v>79.036318131256948</v>
      </c>
      <c r="V240" s="42">
        <v>63</v>
      </c>
      <c r="W240" s="12"/>
    </row>
    <row r="241" spans="1:23" ht="14.25" customHeight="1" x14ac:dyDescent="0.25">
      <c r="A241" s="42" t="s">
        <v>76</v>
      </c>
      <c r="B241" s="42"/>
      <c r="C241" s="42">
        <v>21716106</v>
      </c>
      <c r="D241" s="42" t="s">
        <v>684</v>
      </c>
      <c r="E241" s="42" t="s">
        <v>514</v>
      </c>
      <c r="F241" s="42" t="s">
        <v>26</v>
      </c>
      <c r="G241" s="42" t="s">
        <v>27</v>
      </c>
      <c r="H241" s="42">
        <v>82.85</v>
      </c>
      <c r="I241" s="42">
        <f>H241/89.42*100</f>
        <v>92.652650413777664</v>
      </c>
      <c r="J241" s="42" t="s">
        <v>34</v>
      </c>
      <c r="K241" s="43"/>
      <c r="L241" s="42"/>
      <c r="M241" s="42">
        <v>0</v>
      </c>
      <c r="N241" s="44">
        <f t="shared" si="12"/>
        <v>0</v>
      </c>
      <c r="O241" s="43" t="s">
        <v>685</v>
      </c>
      <c r="P241" s="42">
        <v>6</v>
      </c>
      <c r="Q241" s="43" t="s">
        <v>686</v>
      </c>
      <c r="R241" s="42">
        <v>88</v>
      </c>
      <c r="S241" s="45">
        <f t="shared" si="15"/>
        <v>97.777777777777771</v>
      </c>
      <c r="T241" s="42" t="s">
        <v>1007</v>
      </c>
      <c r="U241" s="44">
        <f t="shared" si="14"/>
        <v>78.956855289644352</v>
      </c>
      <c r="V241" s="42">
        <v>64</v>
      </c>
      <c r="W241" s="20"/>
    </row>
    <row r="242" spans="1:23" ht="14.25" customHeight="1" x14ac:dyDescent="0.25">
      <c r="A242" s="42" t="s">
        <v>76</v>
      </c>
      <c r="B242" s="42"/>
      <c r="C242" s="42">
        <v>21716110</v>
      </c>
      <c r="D242" s="42" t="s">
        <v>687</v>
      </c>
      <c r="E242" s="42" t="s">
        <v>514</v>
      </c>
      <c r="F242" s="42" t="s">
        <v>26</v>
      </c>
      <c r="G242" s="42" t="s">
        <v>27</v>
      </c>
      <c r="H242" s="42">
        <v>84.55</v>
      </c>
      <c r="I242" s="42">
        <f>H242/89.42*100</f>
        <v>94.553791098188327</v>
      </c>
      <c r="J242" s="42" t="s">
        <v>34</v>
      </c>
      <c r="K242" s="43"/>
      <c r="L242" s="42"/>
      <c r="M242" s="42">
        <v>0</v>
      </c>
      <c r="N242" s="44">
        <f t="shared" ref="N242:N255" si="16">M242/9.218*100</f>
        <v>0</v>
      </c>
      <c r="O242" s="43" t="s">
        <v>688</v>
      </c>
      <c r="P242" s="42">
        <v>3</v>
      </c>
      <c r="Q242" s="43" t="s">
        <v>689</v>
      </c>
      <c r="R242" s="42">
        <v>82</v>
      </c>
      <c r="S242" s="45">
        <f t="shared" si="15"/>
        <v>91.111111111111114</v>
      </c>
      <c r="T242" s="42"/>
      <c r="U242" s="44">
        <f t="shared" si="14"/>
        <v>78.93765376873182</v>
      </c>
      <c r="V242" s="42">
        <v>65</v>
      </c>
      <c r="W242" s="12"/>
    </row>
    <row r="243" spans="1:23" ht="14.25" customHeight="1" x14ac:dyDescent="0.25">
      <c r="A243" s="42" t="s">
        <v>81</v>
      </c>
      <c r="B243" s="42"/>
      <c r="C243" s="42">
        <v>21716037</v>
      </c>
      <c r="D243" s="42" t="s">
        <v>690</v>
      </c>
      <c r="E243" s="42" t="s">
        <v>514</v>
      </c>
      <c r="F243" s="42" t="s">
        <v>26</v>
      </c>
      <c r="G243" s="42" t="s">
        <v>27</v>
      </c>
      <c r="H243" s="42">
        <v>84.2</v>
      </c>
      <c r="I243" s="42">
        <f>H243/89.67*100</f>
        <v>93.899855023976812</v>
      </c>
      <c r="J243" s="42" t="s">
        <v>34</v>
      </c>
      <c r="K243" s="43"/>
      <c r="L243" s="42"/>
      <c r="M243" s="42">
        <v>0</v>
      </c>
      <c r="N243" s="44">
        <f t="shared" si="16"/>
        <v>0</v>
      </c>
      <c r="O243" s="43" t="s">
        <v>691</v>
      </c>
      <c r="P243" s="42">
        <v>5</v>
      </c>
      <c r="Q243" s="43"/>
      <c r="R243" s="50" t="s">
        <v>119</v>
      </c>
      <c r="S243" s="45">
        <f t="shared" si="15"/>
        <v>92.222222222222229</v>
      </c>
      <c r="T243" s="42" t="s">
        <v>40</v>
      </c>
      <c r="U243" s="44">
        <f t="shared" ref="U243:U255" si="17">0.7*I243+N243*0.15+(P243+S243*0.9)*0.15</f>
        <v>78.929898516783766</v>
      </c>
      <c r="V243" s="42">
        <v>66</v>
      </c>
      <c r="W243" s="12"/>
    </row>
    <row r="244" spans="1:23" ht="14.25" customHeight="1" x14ac:dyDescent="0.25">
      <c r="A244" s="42" t="s">
        <v>67</v>
      </c>
      <c r="B244" s="42"/>
      <c r="C244" s="42">
        <v>21716034</v>
      </c>
      <c r="D244" s="42" t="s">
        <v>692</v>
      </c>
      <c r="E244" s="42" t="s">
        <v>514</v>
      </c>
      <c r="F244" s="42" t="s">
        <v>26</v>
      </c>
      <c r="G244" s="42" t="s">
        <v>27</v>
      </c>
      <c r="H244" s="42">
        <v>83.45</v>
      </c>
      <c r="I244" s="42">
        <f>H244/89.9*100</f>
        <v>92.825361512792</v>
      </c>
      <c r="J244" s="42" t="s">
        <v>34</v>
      </c>
      <c r="K244" s="43"/>
      <c r="L244" s="42"/>
      <c r="M244" s="42">
        <v>0</v>
      </c>
      <c r="N244" s="44">
        <f t="shared" si="16"/>
        <v>0</v>
      </c>
      <c r="O244" s="43" t="s">
        <v>693</v>
      </c>
      <c r="P244" s="42">
        <v>3</v>
      </c>
      <c r="Q244" s="43"/>
      <c r="R244" s="42">
        <v>90</v>
      </c>
      <c r="S244" s="45">
        <f t="shared" si="15"/>
        <v>100</v>
      </c>
      <c r="T244" s="42"/>
      <c r="U244" s="44">
        <f t="shared" si="17"/>
        <v>78.927753058954394</v>
      </c>
      <c r="V244" s="42">
        <v>67</v>
      </c>
      <c r="W244" s="12"/>
    </row>
    <row r="245" spans="1:23" ht="14.25" customHeight="1" x14ac:dyDescent="0.25">
      <c r="A245" s="42" t="s">
        <v>32</v>
      </c>
      <c r="B245" s="42"/>
      <c r="C245" s="42">
        <v>21716080</v>
      </c>
      <c r="D245" s="42" t="s">
        <v>694</v>
      </c>
      <c r="E245" s="42" t="s">
        <v>514</v>
      </c>
      <c r="F245" s="42" t="s">
        <v>26</v>
      </c>
      <c r="G245" s="42" t="s">
        <v>27</v>
      </c>
      <c r="H245" s="42">
        <v>83.89</v>
      </c>
      <c r="I245" s="42">
        <f>H245/89.89*100</f>
        <v>93.325175214150619</v>
      </c>
      <c r="J245" s="42" t="s">
        <v>34</v>
      </c>
      <c r="K245" s="43"/>
      <c r="L245" s="42"/>
      <c r="M245" s="42">
        <v>0</v>
      </c>
      <c r="N245" s="44">
        <f t="shared" si="16"/>
        <v>0</v>
      </c>
      <c r="O245" s="43" t="s">
        <v>172</v>
      </c>
      <c r="P245" s="42">
        <v>3</v>
      </c>
      <c r="Q245" s="43" t="s">
        <v>695</v>
      </c>
      <c r="R245" s="42">
        <v>86</v>
      </c>
      <c r="S245" s="44">
        <f>R245/89*100</f>
        <v>96.629213483146074</v>
      </c>
      <c r="T245" s="42"/>
      <c r="U245" s="44">
        <f t="shared" si="17"/>
        <v>78.822566470130155</v>
      </c>
      <c r="V245" s="42">
        <v>68</v>
      </c>
      <c r="W245" s="12"/>
    </row>
    <row r="246" spans="1:23" ht="14.25" customHeight="1" x14ac:dyDescent="0.25">
      <c r="A246" s="42" t="s">
        <v>67</v>
      </c>
      <c r="B246" s="42"/>
      <c r="C246" s="42">
        <v>21716024</v>
      </c>
      <c r="D246" s="42" t="s">
        <v>696</v>
      </c>
      <c r="E246" s="42" t="s">
        <v>514</v>
      </c>
      <c r="F246" s="42" t="s">
        <v>26</v>
      </c>
      <c r="G246" s="42" t="s">
        <v>27</v>
      </c>
      <c r="H246" s="42">
        <v>82.82</v>
      </c>
      <c r="I246" s="42">
        <f>H246/89.9*100</f>
        <v>92.124582869855388</v>
      </c>
      <c r="J246" s="42" t="s">
        <v>34</v>
      </c>
      <c r="K246" s="43"/>
      <c r="L246" s="42"/>
      <c r="M246" s="42">
        <v>0</v>
      </c>
      <c r="N246" s="44">
        <f t="shared" si="16"/>
        <v>0</v>
      </c>
      <c r="O246" s="43" t="s">
        <v>697</v>
      </c>
      <c r="P246" s="42">
        <v>5</v>
      </c>
      <c r="Q246" s="43" t="s">
        <v>698</v>
      </c>
      <c r="R246" s="42">
        <v>90</v>
      </c>
      <c r="S246" s="45">
        <f>R246/90*100</f>
        <v>100</v>
      </c>
      <c r="T246" s="42"/>
      <c r="U246" s="44">
        <f t="shared" si="17"/>
        <v>78.737208008898762</v>
      </c>
      <c r="V246" s="42">
        <v>69</v>
      </c>
      <c r="W246" s="12"/>
    </row>
    <row r="247" spans="1:23" ht="14.25" customHeight="1" x14ac:dyDescent="0.25">
      <c r="A247" s="42" t="s">
        <v>67</v>
      </c>
      <c r="B247" s="42"/>
      <c r="C247" s="42">
        <v>21716128</v>
      </c>
      <c r="D247" s="42" t="s">
        <v>699</v>
      </c>
      <c r="E247" s="42" t="s">
        <v>514</v>
      </c>
      <c r="F247" s="42" t="s">
        <v>26</v>
      </c>
      <c r="G247" s="42" t="s">
        <v>27</v>
      </c>
      <c r="H247" s="49">
        <v>83.9</v>
      </c>
      <c r="I247" s="42">
        <f>H247/89.9*100</f>
        <v>93.325917686318121</v>
      </c>
      <c r="J247" s="42" t="s">
        <v>34</v>
      </c>
      <c r="K247" s="43"/>
      <c r="L247" s="42"/>
      <c r="M247" s="42">
        <v>0</v>
      </c>
      <c r="N247" s="44">
        <f t="shared" si="16"/>
        <v>0</v>
      </c>
      <c r="O247" s="43"/>
      <c r="P247" s="42">
        <v>3</v>
      </c>
      <c r="Q247" s="43" t="s">
        <v>639</v>
      </c>
      <c r="R247" s="42">
        <v>85</v>
      </c>
      <c r="S247" s="45">
        <f>R247/90*100</f>
        <v>94.444444444444443</v>
      </c>
      <c r="T247" s="42"/>
      <c r="U247" s="44">
        <f t="shared" si="17"/>
        <v>78.528142380422679</v>
      </c>
      <c r="V247" s="42">
        <v>70</v>
      </c>
      <c r="W247" s="12"/>
    </row>
    <row r="248" spans="1:23" ht="14.25" customHeight="1" x14ac:dyDescent="0.25">
      <c r="A248" s="42" t="s">
        <v>76</v>
      </c>
      <c r="B248" s="42"/>
      <c r="C248" s="42">
        <v>21716100</v>
      </c>
      <c r="D248" s="42" t="s">
        <v>700</v>
      </c>
      <c r="E248" s="42" t="s">
        <v>514</v>
      </c>
      <c r="F248" s="42" t="s">
        <v>26</v>
      </c>
      <c r="G248" s="42" t="s">
        <v>27</v>
      </c>
      <c r="H248" s="42">
        <v>81.27</v>
      </c>
      <c r="I248" s="42">
        <f>H248/89.42*100</f>
        <v>90.885707895325424</v>
      </c>
      <c r="J248" s="42" t="s">
        <v>34</v>
      </c>
      <c r="K248" s="43"/>
      <c r="L248" s="42"/>
      <c r="M248" s="42">
        <v>0</v>
      </c>
      <c r="N248" s="44">
        <f t="shared" si="16"/>
        <v>0</v>
      </c>
      <c r="O248" s="43" t="s">
        <v>701</v>
      </c>
      <c r="P248" s="42">
        <v>7</v>
      </c>
      <c r="Q248" s="43" t="s">
        <v>702</v>
      </c>
      <c r="R248" s="42">
        <v>90</v>
      </c>
      <c r="S248" s="45">
        <f>R248/90*100</f>
        <v>100</v>
      </c>
      <c r="T248" s="42" t="s">
        <v>270</v>
      </c>
      <c r="U248" s="44">
        <f t="shared" si="17"/>
        <v>78.169995526727789</v>
      </c>
      <c r="V248" s="42">
        <v>71</v>
      </c>
      <c r="W248" s="12"/>
    </row>
    <row r="249" spans="1:23" ht="14.25" customHeight="1" x14ac:dyDescent="0.25">
      <c r="A249" s="42" t="s">
        <v>81</v>
      </c>
      <c r="B249" s="42"/>
      <c r="C249" s="42">
        <v>21716041</v>
      </c>
      <c r="D249" s="42" t="s">
        <v>703</v>
      </c>
      <c r="E249" s="42" t="s">
        <v>514</v>
      </c>
      <c r="F249" s="42" t="s">
        <v>26</v>
      </c>
      <c r="G249" s="42" t="s">
        <v>27</v>
      </c>
      <c r="H249" s="42">
        <v>81.180000000000007</v>
      </c>
      <c r="I249" s="42">
        <f>H249/89.67*100</f>
        <v>90.531950485112077</v>
      </c>
      <c r="J249" s="42" t="s">
        <v>34</v>
      </c>
      <c r="K249" s="43"/>
      <c r="L249" s="52"/>
      <c r="M249" s="42">
        <v>0</v>
      </c>
      <c r="N249" s="44">
        <f t="shared" si="16"/>
        <v>0</v>
      </c>
      <c r="O249" s="43" t="s">
        <v>704</v>
      </c>
      <c r="P249" s="42">
        <v>7</v>
      </c>
      <c r="Q249" s="43" t="s">
        <v>705</v>
      </c>
      <c r="R249" s="50" t="s">
        <v>534</v>
      </c>
      <c r="S249" s="45">
        <f>R249/90*100</f>
        <v>100</v>
      </c>
      <c r="T249" s="42" t="s">
        <v>1016</v>
      </c>
      <c r="U249" s="44">
        <f t="shared" si="17"/>
        <v>77.922365339578448</v>
      </c>
      <c r="V249" s="42">
        <v>72</v>
      </c>
      <c r="W249" s="12"/>
    </row>
    <row r="250" spans="1:23" ht="14.25" customHeight="1" x14ac:dyDescent="0.25">
      <c r="A250" s="42" t="s">
        <v>32</v>
      </c>
      <c r="B250" s="42"/>
      <c r="C250" s="42" t="s">
        <v>706</v>
      </c>
      <c r="D250" s="42" t="s">
        <v>707</v>
      </c>
      <c r="E250" s="42" t="s">
        <v>514</v>
      </c>
      <c r="F250" s="42" t="s">
        <v>26</v>
      </c>
      <c r="G250" s="42" t="s">
        <v>27</v>
      </c>
      <c r="H250" s="42">
        <v>81.069999999999993</v>
      </c>
      <c r="I250" s="42">
        <f>H250/89.89*100</f>
        <v>90.188007564801424</v>
      </c>
      <c r="J250" s="42" t="s">
        <v>34</v>
      </c>
      <c r="K250" s="43"/>
      <c r="L250" s="42"/>
      <c r="M250" s="42">
        <v>0</v>
      </c>
      <c r="N250" s="44">
        <f t="shared" si="16"/>
        <v>0</v>
      </c>
      <c r="O250" s="43" t="s">
        <v>708</v>
      </c>
      <c r="P250" s="42">
        <v>5</v>
      </c>
      <c r="Q250" s="43" t="s">
        <v>47</v>
      </c>
      <c r="R250" s="42">
        <v>86</v>
      </c>
      <c r="S250" s="44">
        <f>R250/89*100</f>
        <v>96.629213483146074</v>
      </c>
      <c r="T250" s="42" t="s">
        <v>1006</v>
      </c>
      <c r="U250" s="44">
        <f t="shared" si="17"/>
        <v>76.926549115585715</v>
      </c>
      <c r="V250" s="42">
        <v>73</v>
      </c>
      <c r="W250" s="20"/>
    </row>
    <row r="251" spans="1:23" ht="14.25" customHeight="1" x14ac:dyDescent="0.25">
      <c r="A251" s="42" t="s">
        <v>67</v>
      </c>
      <c r="B251" s="42"/>
      <c r="C251" s="42">
        <v>21716018</v>
      </c>
      <c r="D251" s="42" t="s">
        <v>709</v>
      </c>
      <c r="E251" s="42" t="s">
        <v>514</v>
      </c>
      <c r="F251" s="42" t="s">
        <v>26</v>
      </c>
      <c r="G251" s="42" t="s">
        <v>27</v>
      </c>
      <c r="H251" s="42">
        <v>81.09</v>
      </c>
      <c r="I251" s="42">
        <f>H251/89.9*100</f>
        <v>90.200222469410448</v>
      </c>
      <c r="J251" s="42" t="s">
        <v>34</v>
      </c>
      <c r="K251" s="43"/>
      <c r="L251" s="42"/>
      <c r="M251" s="42">
        <v>0</v>
      </c>
      <c r="N251" s="44">
        <f t="shared" si="16"/>
        <v>0</v>
      </c>
      <c r="O251" s="43"/>
      <c r="P251" s="42">
        <v>4</v>
      </c>
      <c r="Q251" s="43"/>
      <c r="R251" s="42">
        <v>85</v>
      </c>
      <c r="S251" s="45">
        <f>R251/90*100</f>
        <v>94.444444444444443</v>
      </c>
      <c r="T251" s="42"/>
      <c r="U251" s="44">
        <f t="shared" si="17"/>
        <v>76.490155728587311</v>
      </c>
      <c r="V251" s="42">
        <v>74</v>
      </c>
      <c r="W251" s="12"/>
    </row>
    <row r="252" spans="1:23" ht="14.25" customHeight="1" x14ac:dyDescent="0.25">
      <c r="A252" s="42" t="s">
        <v>76</v>
      </c>
      <c r="B252" s="42"/>
      <c r="C252" s="42">
        <v>21716105</v>
      </c>
      <c r="D252" s="42" t="s">
        <v>710</v>
      </c>
      <c r="E252" s="42" t="s">
        <v>514</v>
      </c>
      <c r="F252" s="42" t="s">
        <v>26</v>
      </c>
      <c r="G252" s="42" t="s">
        <v>27</v>
      </c>
      <c r="H252" s="42">
        <v>80.27</v>
      </c>
      <c r="I252" s="42">
        <f>H252/89.42*100</f>
        <v>89.767389845672113</v>
      </c>
      <c r="J252" s="42" t="s">
        <v>34</v>
      </c>
      <c r="K252" s="43"/>
      <c r="L252" s="42"/>
      <c r="M252" s="42">
        <v>0</v>
      </c>
      <c r="N252" s="44">
        <f t="shared" si="16"/>
        <v>0</v>
      </c>
      <c r="O252" s="43" t="s">
        <v>302</v>
      </c>
      <c r="P252" s="42">
        <v>3</v>
      </c>
      <c r="Q252" s="43" t="s">
        <v>711</v>
      </c>
      <c r="R252" s="42">
        <v>86</v>
      </c>
      <c r="S252" s="45">
        <f>R252/90*100</f>
        <v>95.555555555555557</v>
      </c>
      <c r="T252" s="42"/>
      <c r="U252" s="44">
        <f t="shared" si="17"/>
        <v>76.187172891970476</v>
      </c>
      <c r="V252" s="42">
        <v>75</v>
      </c>
      <c r="W252" s="12"/>
    </row>
    <row r="253" spans="1:23" ht="14.25" customHeight="1" x14ac:dyDescent="0.25">
      <c r="A253" s="42" t="s">
        <v>32</v>
      </c>
      <c r="B253" s="42"/>
      <c r="C253" s="42">
        <v>21716081</v>
      </c>
      <c r="D253" s="42" t="s">
        <v>712</v>
      </c>
      <c r="E253" s="42" t="s">
        <v>514</v>
      </c>
      <c r="F253" s="42" t="s">
        <v>26</v>
      </c>
      <c r="G253" s="42" t="s">
        <v>27</v>
      </c>
      <c r="H253" s="42">
        <v>80.42</v>
      </c>
      <c r="I253" s="42">
        <f>H253/89.89*100</f>
        <v>89.464901546334403</v>
      </c>
      <c r="J253" s="42" t="s">
        <v>34</v>
      </c>
      <c r="K253" s="43"/>
      <c r="L253" s="42"/>
      <c r="M253" s="42">
        <v>0</v>
      </c>
      <c r="N253" s="44">
        <f t="shared" si="16"/>
        <v>0</v>
      </c>
      <c r="O253" s="43" t="s">
        <v>713</v>
      </c>
      <c r="P253" s="42">
        <v>2</v>
      </c>
      <c r="Q253" s="43" t="s">
        <v>714</v>
      </c>
      <c r="R253" s="42">
        <v>86</v>
      </c>
      <c r="S253" s="44">
        <f>R253/89*100</f>
        <v>96.629213483146074</v>
      </c>
      <c r="T253" s="42"/>
      <c r="U253" s="44">
        <f t="shared" si="17"/>
        <v>75.97037490265879</v>
      </c>
      <c r="V253" s="42">
        <v>76</v>
      </c>
      <c r="W253" s="12"/>
    </row>
    <row r="254" spans="1:23" ht="14.25" customHeight="1" x14ac:dyDescent="0.25">
      <c r="A254" s="42" t="s">
        <v>32</v>
      </c>
      <c r="B254" s="42"/>
      <c r="C254" s="42">
        <v>21716075</v>
      </c>
      <c r="D254" s="42" t="s">
        <v>715</v>
      </c>
      <c r="E254" s="42" t="s">
        <v>514</v>
      </c>
      <c r="F254" s="42" t="s">
        <v>26</v>
      </c>
      <c r="G254" s="42" t="s">
        <v>27</v>
      </c>
      <c r="H254" s="42">
        <v>80.47</v>
      </c>
      <c r="I254" s="42">
        <f>H254/89.89*100</f>
        <v>89.52052508621648</v>
      </c>
      <c r="J254" s="42" t="s">
        <v>34</v>
      </c>
      <c r="K254" s="43"/>
      <c r="L254" s="42"/>
      <c r="M254" s="42">
        <v>0</v>
      </c>
      <c r="N254" s="44">
        <f t="shared" si="16"/>
        <v>0</v>
      </c>
      <c r="O254" s="43" t="s">
        <v>716</v>
      </c>
      <c r="P254" s="42">
        <v>2</v>
      </c>
      <c r="Q254" s="43" t="s">
        <v>717</v>
      </c>
      <c r="R254" s="42">
        <v>84</v>
      </c>
      <c r="S254" s="44">
        <f>R254/89*100</f>
        <v>94.382022471910105</v>
      </c>
      <c r="T254" s="42"/>
      <c r="U254" s="44">
        <f t="shared" si="17"/>
        <v>75.705940594059399</v>
      </c>
      <c r="V254" s="42">
        <v>77</v>
      </c>
      <c r="W254" s="12"/>
    </row>
    <row r="255" spans="1:23" ht="14.25" customHeight="1" x14ac:dyDescent="0.25">
      <c r="A255" s="42" t="s">
        <v>32</v>
      </c>
      <c r="B255" s="42"/>
      <c r="C255" s="42">
        <v>21716074</v>
      </c>
      <c r="D255" s="42" t="s">
        <v>718</v>
      </c>
      <c r="E255" s="42" t="s">
        <v>514</v>
      </c>
      <c r="F255" s="42" t="s">
        <v>547</v>
      </c>
      <c r="G255" s="42" t="s">
        <v>27</v>
      </c>
      <c r="H255" s="42">
        <v>80</v>
      </c>
      <c r="I255" s="42">
        <f>H255/89.89*100</f>
        <v>88.997663811324955</v>
      </c>
      <c r="J255" s="42" t="s">
        <v>34</v>
      </c>
      <c r="K255" s="43"/>
      <c r="L255" s="42"/>
      <c r="M255" s="42">
        <v>0</v>
      </c>
      <c r="N255" s="44">
        <f t="shared" si="16"/>
        <v>0</v>
      </c>
      <c r="O255" s="43" t="s">
        <v>719</v>
      </c>
      <c r="P255" s="42">
        <v>2</v>
      </c>
      <c r="Q255" s="43" t="s">
        <v>720</v>
      </c>
      <c r="R255" s="42">
        <v>85</v>
      </c>
      <c r="S255" s="44">
        <f>R255/89*100</f>
        <v>95.50561797752809</v>
      </c>
      <c r="T255" s="42"/>
      <c r="U255" s="44">
        <f t="shared" si="17"/>
        <v>75.491623094893754</v>
      </c>
      <c r="V255" s="42">
        <v>78</v>
      </c>
      <c r="W255" s="12"/>
    </row>
    <row r="256" spans="1:23" ht="14.25" customHeight="1" x14ac:dyDescent="0.25">
      <c r="A256" s="53" t="s">
        <v>59</v>
      </c>
      <c r="B256" s="53" t="s">
        <v>23</v>
      </c>
      <c r="C256" s="53">
        <v>21616111</v>
      </c>
      <c r="D256" s="53" t="s">
        <v>721</v>
      </c>
      <c r="E256" s="53" t="s">
        <v>722</v>
      </c>
      <c r="F256" s="53" t="s">
        <v>26</v>
      </c>
      <c r="G256" s="53" t="s">
        <v>27</v>
      </c>
      <c r="H256" s="53"/>
      <c r="I256" s="53"/>
      <c r="J256" s="53" t="s">
        <v>28</v>
      </c>
      <c r="K256" s="54" t="s">
        <v>723</v>
      </c>
      <c r="L256" s="53"/>
      <c r="M256" s="53">
        <f>3.041*7</f>
        <v>21.286999999999999</v>
      </c>
      <c r="N256" s="55">
        <f t="shared" ref="N256:N299" si="18">M256/21.287*100</f>
        <v>100</v>
      </c>
      <c r="O256" s="54" t="s">
        <v>172</v>
      </c>
      <c r="P256" s="53">
        <v>0</v>
      </c>
      <c r="Q256" s="54" t="s">
        <v>724</v>
      </c>
      <c r="R256" s="53">
        <v>90</v>
      </c>
      <c r="S256" s="56">
        <f t="shared" ref="S256:S261" si="19">R256/90*100</f>
        <v>100</v>
      </c>
      <c r="T256" s="53" t="s">
        <v>31</v>
      </c>
      <c r="U256" s="55">
        <f t="shared" ref="U256:U299" si="20">0.6*N256+0.4*(P256+0.9*S256)</f>
        <v>96</v>
      </c>
      <c r="V256" s="53">
        <v>1</v>
      </c>
      <c r="W256" s="12"/>
    </row>
    <row r="257" spans="1:23" ht="14.25" customHeight="1" x14ac:dyDescent="0.25">
      <c r="A257" s="53" t="s">
        <v>67</v>
      </c>
      <c r="B257" s="53" t="s">
        <v>23</v>
      </c>
      <c r="C257" s="53">
        <v>21616035</v>
      </c>
      <c r="D257" s="53" t="s">
        <v>725</v>
      </c>
      <c r="E257" s="53" t="s">
        <v>722</v>
      </c>
      <c r="F257" s="53" t="s">
        <v>26</v>
      </c>
      <c r="G257" s="53" t="s">
        <v>27</v>
      </c>
      <c r="H257" s="53"/>
      <c r="I257" s="53"/>
      <c r="J257" s="53" t="s">
        <v>28</v>
      </c>
      <c r="K257" s="54" t="s">
        <v>726</v>
      </c>
      <c r="L257" s="53"/>
      <c r="M257" s="53">
        <f>4.013*4</f>
        <v>16.052</v>
      </c>
      <c r="N257" s="55">
        <f t="shared" si="18"/>
        <v>75.407525719922958</v>
      </c>
      <c r="O257" s="54" t="s">
        <v>727</v>
      </c>
      <c r="P257" s="53">
        <v>9</v>
      </c>
      <c r="Q257" s="54" t="s">
        <v>728</v>
      </c>
      <c r="R257" s="53">
        <v>90</v>
      </c>
      <c r="S257" s="57">
        <f t="shared" si="19"/>
        <v>100</v>
      </c>
      <c r="T257" s="53" t="s">
        <v>1009</v>
      </c>
      <c r="U257" s="55">
        <f t="shared" si="20"/>
        <v>84.844515431953766</v>
      </c>
      <c r="V257" s="53">
        <v>2</v>
      </c>
      <c r="W257" s="20"/>
    </row>
    <row r="258" spans="1:23" ht="14.25" customHeight="1" x14ac:dyDescent="0.25">
      <c r="A258" s="53" t="s">
        <v>76</v>
      </c>
      <c r="B258" s="53" t="s">
        <v>23</v>
      </c>
      <c r="C258" s="53">
        <v>21616167</v>
      </c>
      <c r="D258" s="53" t="s">
        <v>729</v>
      </c>
      <c r="E258" s="53" t="s">
        <v>722</v>
      </c>
      <c r="F258" s="53" t="s">
        <v>26</v>
      </c>
      <c r="G258" s="53" t="s">
        <v>27</v>
      </c>
      <c r="H258" s="53"/>
      <c r="I258" s="53"/>
      <c r="J258" s="53" t="s">
        <v>28</v>
      </c>
      <c r="K258" s="58" t="s">
        <v>730</v>
      </c>
      <c r="L258" s="53"/>
      <c r="M258" s="53">
        <f>2.81*4+2.299*2</f>
        <v>15.838000000000001</v>
      </c>
      <c r="N258" s="55">
        <f t="shared" si="18"/>
        <v>74.402217315732614</v>
      </c>
      <c r="O258" s="54"/>
      <c r="P258" s="53"/>
      <c r="Q258" s="54" t="s">
        <v>731</v>
      </c>
      <c r="R258" s="53">
        <v>88</v>
      </c>
      <c r="S258" s="57">
        <f t="shared" si="19"/>
        <v>97.777777777777771</v>
      </c>
      <c r="T258" s="53" t="s">
        <v>40</v>
      </c>
      <c r="U258" s="55">
        <f t="shared" si="20"/>
        <v>79.841330389439577</v>
      </c>
      <c r="V258" s="53">
        <v>3</v>
      </c>
      <c r="W258" s="12"/>
    </row>
    <row r="259" spans="1:23" ht="14.25" customHeight="1" x14ac:dyDescent="0.25">
      <c r="A259" s="53" t="s">
        <v>67</v>
      </c>
      <c r="B259" s="76" t="s">
        <v>732</v>
      </c>
      <c r="C259" s="53">
        <v>21616040</v>
      </c>
      <c r="D259" s="53" t="s">
        <v>733</v>
      </c>
      <c r="E259" s="53" t="s">
        <v>722</v>
      </c>
      <c r="F259" s="53" t="s">
        <v>26</v>
      </c>
      <c r="G259" s="53" t="s">
        <v>27</v>
      </c>
      <c r="H259" s="53"/>
      <c r="I259" s="53"/>
      <c r="J259" s="53" t="s">
        <v>28</v>
      </c>
      <c r="K259" s="58" t="s">
        <v>734</v>
      </c>
      <c r="L259" s="53"/>
      <c r="M259" s="53">
        <f>2*4.257+2*3.217</f>
        <v>14.948</v>
      </c>
      <c r="N259" s="55">
        <f t="shared" si="18"/>
        <v>70.221261802978347</v>
      </c>
      <c r="O259" s="54"/>
      <c r="P259" s="53"/>
      <c r="Q259" s="54"/>
      <c r="R259" s="53">
        <v>85</v>
      </c>
      <c r="S259" s="57">
        <f t="shared" si="19"/>
        <v>94.444444444444443</v>
      </c>
      <c r="T259" s="53" t="s">
        <v>31</v>
      </c>
      <c r="U259" s="55">
        <f t="shared" si="20"/>
        <v>76.132757081787005</v>
      </c>
      <c r="V259" s="53">
        <v>4</v>
      </c>
      <c r="W259" s="12"/>
    </row>
    <row r="260" spans="1:23" ht="14.25" customHeight="1" x14ac:dyDescent="0.25">
      <c r="A260" s="53" t="s">
        <v>67</v>
      </c>
      <c r="B260" s="53"/>
      <c r="C260" s="53">
        <v>21616034</v>
      </c>
      <c r="D260" s="53" t="s">
        <v>735</v>
      </c>
      <c r="E260" s="53" t="s">
        <v>722</v>
      </c>
      <c r="F260" s="53" t="s">
        <v>26</v>
      </c>
      <c r="G260" s="53" t="s">
        <v>27</v>
      </c>
      <c r="H260" s="53"/>
      <c r="I260" s="53"/>
      <c r="J260" s="53" t="s">
        <v>28</v>
      </c>
      <c r="K260" s="54" t="s">
        <v>736</v>
      </c>
      <c r="L260" s="53"/>
      <c r="M260" s="53">
        <v>10.359</v>
      </c>
      <c r="N260" s="55">
        <f t="shared" si="18"/>
        <v>48.663503546765632</v>
      </c>
      <c r="O260" s="54" t="s">
        <v>737</v>
      </c>
      <c r="P260" s="53"/>
      <c r="Q260" s="54"/>
      <c r="R260" s="53">
        <v>85</v>
      </c>
      <c r="S260" s="57">
        <f t="shared" si="19"/>
        <v>94.444444444444443</v>
      </c>
      <c r="T260" s="53" t="s">
        <v>31</v>
      </c>
      <c r="U260" s="55">
        <f t="shared" si="20"/>
        <v>63.198102128059375</v>
      </c>
      <c r="V260" s="53">
        <v>5</v>
      </c>
      <c r="W260" s="12"/>
    </row>
    <row r="261" spans="1:23" ht="14.25" customHeight="1" x14ac:dyDescent="0.25">
      <c r="A261" s="53" t="s">
        <v>76</v>
      </c>
      <c r="B261" s="53"/>
      <c r="C261" s="53">
        <v>21616173</v>
      </c>
      <c r="D261" s="53" t="s">
        <v>738</v>
      </c>
      <c r="E261" s="53" t="s">
        <v>722</v>
      </c>
      <c r="F261" s="53" t="s">
        <v>26</v>
      </c>
      <c r="G261" s="53" t="s">
        <v>27</v>
      </c>
      <c r="H261" s="53"/>
      <c r="I261" s="53"/>
      <c r="J261" s="53" t="s">
        <v>28</v>
      </c>
      <c r="K261" s="54" t="s">
        <v>739</v>
      </c>
      <c r="L261" s="53"/>
      <c r="M261" s="53">
        <f>2*1.973+2*1.298+2*1.19</f>
        <v>8.9220000000000006</v>
      </c>
      <c r="N261" s="55">
        <f t="shared" si="18"/>
        <v>41.912904589655668</v>
      </c>
      <c r="O261" s="54" t="s">
        <v>740</v>
      </c>
      <c r="P261" s="53">
        <v>3</v>
      </c>
      <c r="Q261" s="54" t="s">
        <v>741</v>
      </c>
      <c r="R261" s="53">
        <v>86</v>
      </c>
      <c r="S261" s="57">
        <f t="shared" si="19"/>
        <v>95.555555555555557</v>
      </c>
      <c r="T261" s="53" t="s">
        <v>31</v>
      </c>
      <c r="U261" s="55">
        <f t="shared" si="20"/>
        <v>60.747742753793403</v>
      </c>
      <c r="V261" s="53">
        <v>6</v>
      </c>
      <c r="W261" s="12"/>
    </row>
    <row r="262" spans="1:23" ht="14.25" customHeight="1" x14ac:dyDescent="0.25">
      <c r="A262" s="53" t="s">
        <v>73</v>
      </c>
      <c r="B262" s="53"/>
      <c r="C262" s="53">
        <v>21616092</v>
      </c>
      <c r="D262" s="53" t="s">
        <v>742</v>
      </c>
      <c r="E262" s="53" t="s">
        <v>722</v>
      </c>
      <c r="F262" s="53" t="s">
        <v>26</v>
      </c>
      <c r="G262" s="53" t="s">
        <v>27</v>
      </c>
      <c r="H262" s="53"/>
      <c r="I262" s="53"/>
      <c r="J262" s="53" t="s">
        <v>28</v>
      </c>
      <c r="K262" s="54" t="s">
        <v>743</v>
      </c>
      <c r="L262" s="53"/>
      <c r="M262" s="53">
        <f>4.454*2</f>
        <v>8.9079999999999995</v>
      </c>
      <c r="N262" s="55">
        <f t="shared" si="18"/>
        <v>41.847136750129188</v>
      </c>
      <c r="O262" s="54"/>
      <c r="P262" s="53">
        <v>0</v>
      </c>
      <c r="Q262" s="54"/>
      <c r="R262" s="53">
        <v>88</v>
      </c>
      <c r="S262" s="56">
        <f>(R262/90)*100</f>
        <v>97.777777777777771</v>
      </c>
      <c r="T262" s="53" t="s">
        <v>40</v>
      </c>
      <c r="U262" s="55">
        <f t="shared" si="20"/>
        <v>60.308282050077516</v>
      </c>
      <c r="V262" s="53">
        <v>7</v>
      </c>
      <c r="W262" s="12"/>
    </row>
    <row r="263" spans="1:23" ht="14.25" customHeight="1" x14ac:dyDescent="0.25">
      <c r="A263" s="53" t="s">
        <v>32</v>
      </c>
      <c r="B263" s="53"/>
      <c r="C263" s="53">
        <v>21616144</v>
      </c>
      <c r="D263" s="53" t="s">
        <v>744</v>
      </c>
      <c r="E263" s="53" t="s">
        <v>722</v>
      </c>
      <c r="F263" s="53" t="s">
        <v>26</v>
      </c>
      <c r="G263" s="53" t="s">
        <v>27</v>
      </c>
      <c r="H263" s="53"/>
      <c r="I263" s="53"/>
      <c r="J263" s="53" t="s">
        <v>28</v>
      </c>
      <c r="K263" s="54" t="s">
        <v>993</v>
      </c>
      <c r="L263" s="53"/>
      <c r="M263" s="53">
        <f>1.798*2+3</f>
        <v>6.5960000000000001</v>
      </c>
      <c r="N263" s="55">
        <f t="shared" si="18"/>
        <v>30.986047822614744</v>
      </c>
      <c r="O263" s="54" t="s">
        <v>745</v>
      </c>
      <c r="P263" s="53">
        <v>10</v>
      </c>
      <c r="Q263" s="54" t="s">
        <v>746</v>
      </c>
      <c r="R263" s="53">
        <v>86</v>
      </c>
      <c r="S263" s="55">
        <f>R263/89*100</f>
        <v>96.629213483146074</v>
      </c>
      <c r="T263" s="53" t="s">
        <v>1008</v>
      </c>
      <c r="U263" s="55">
        <f t="shared" si="20"/>
        <v>57.378145547501433</v>
      </c>
      <c r="V263" s="53">
        <v>8</v>
      </c>
      <c r="W263" s="20"/>
    </row>
    <row r="264" spans="1:23" ht="14.25" customHeight="1" x14ac:dyDescent="0.25">
      <c r="A264" s="53" t="s">
        <v>59</v>
      </c>
      <c r="B264" s="53"/>
      <c r="C264" s="53">
        <v>21616104</v>
      </c>
      <c r="D264" s="53" t="s">
        <v>747</v>
      </c>
      <c r="E264" s="53" t="s">
        <v>722</v>
      </c>
      <c r="F264" s="53" t="s">
        <v>26</v>
      </c>
      <c r="G264" s="53" t="s">
        <v>27</v>
      </c>
      <c r="H264" s="53"/>
      <c r="I264" s="53"/>
      <c r="J264" s="53" t="s">
        <v>28</v>
      </c>
      <c r="K264" s="54" t="s">
        <v>748</v>
      </c>
      <c r="L264" s="53"/>
      <c r="M264" s="53">
        <f>3.767*2</f>
        <v>7.5339999999999998</v>
      </c>
      <c r="N264" s="55">
        <f t="shared" si="18"/>
        <v>35.392493070888335</v>
      </c>
      <c r="O264" s="54" t="s">
        <v>749</v>
      </c>
      <c r="P264" s="53">
        <v>0</v>
      </c>
      <c r="Q264" s="54" t="s">
        <v>750</v>
      </c>
      <c r="R264" s="53">
        <v>89</v>
      </c>
      <c r="S264" s="56">
        <f>R264/90*100</f>
        <v>98.888888888888886</v>
      </c>
      <c r="T264" s="53" t="s">
        <v>40</v>
      </c>
      <c r="U264" s="55">
        <f t="shared" si="20"/>
        <v>56.835495842533007</v>
      </c>
      <c r="V264" s="53">
        <v>9</v>
      </c>
      <c r="W264" s="12"/>
    </row>
    <row r="265" spans="1:23" ht="14.25" customHeight="1" x14ac:dyDescent="0.25">
      <c r="A265" s="53" t="s">
        <v>67</v>
      </c>
      <c r="B265" s="53"/>
      <c r="C265" s="53">
        <v>21616042</v>
      </c>
      <c r="D265" s="53" t="s">
        <v>751</v>
      </c>
      <c r="E265" s="53" t="s">
        <v>722</v>
      </c>
      <c r="F265" s="53" t="s">
        <v>26</v>
      </c>
      <c r="G265" s="53" t="s">
        <v>27</v>
      </c>
      <c r="H265" s="53"/>
      <c r="I265" s="53"/>
      <c r="J265" s="53" t="s">
        <v>28</v>
      </c>
      <c r="K265" s="54" t="s">
        <v>752</v>
      </c>
      <c r="L265" s="59"/>
      <c r="M265" s="53">
        <f>3.878+3</f>
        <v>6.8780000000000001</v>
      </c>
      <c r="N265" s="55">
        <f t="shared" si="18"/>
        <v>32.310800018790815</v>
      </c>
      <c r="O265" s="54"/>
      <c r="P265" s="53"/>
      <c r="Q265" s="54" t="s">
        <v>753</v>
      </c>
      <c r="R265" s="53">
        <v>85</v>
      </c>
      <c r="S265" s="57">
        <f>R265/90*100</f>
        <v>94.444444444444443</v>
      </c>
      <c r="T265" s="53" t="s">
        <v>31</v>
      </c>
      <c r="U265" s="55">
        <f t="shared" si="20"/>
        <v>53.386480011274486</v>
      </c>
      <c r="V265" s="53">
        <v>10</v>
      </c>
      <c r="W265" s="12"/>
    </row>
    <row r="266" spans="1:23" ht="14.25" customHeight="1" x14ac:dyDescent="0.25">
      <c r="A266" s="53" t="s">
        <v>32</v>
      </c>
      <c r="B266" s="53"/>
      <c r="C266" s="53">
        <v>21616137</v>
      </c>
      <c r="D266" s="53" t="s">
        <v>754</v>
      </c>
      <c r="E266" s="53" t="s">
        <v>722</v>
      </c>
      <c r="F266" s="53" t="s">
        <v>26</v>
      </c>
      <c r="G266" s="53" t="s">
        <v>27</v>
      </c>
      <c r="H266" s="53"/>
      <c r="I266" s="53"/>
      <c r="J266" s="53" t="s">
        <v>28</v>
      </c>
      <c r="K266" s="54" t="s">
        <v>442</v>
      </c>
      <c r="L266" s="53"/>
      <c r="M266" s="53">
        <v>6</v>
      </c>
      <c r="N266" s="55">
        <f t="shared" si="18"/>
        <v>28.186216939916381</v>
      </c>
      <c r="O266" s="54"/>
      <c r="P266" s="53">
        <v>0</v>
      </c>
      <c r="Q266" s="54"/>
      <c r="R266" s="53">
        <v>86</v>
      </c>
      <c r="S266" s="55">
        <f>R266/89*100</f>
        <v>96.629213483146074</v>
      </c>
      <c r="T266" s="53" t="s">
        <v>31</v>
      </c>
      <c r="U266" s="55">
        <f t="shared" si="20"/>
        <v>51.698247017882416</v>
      </c>
      <c r="V266" s="53">
        <v>11</v>
      </c>
      <c r="W266" s="12"/>
    </row>
    <row r="267" spans="1:23" s="80" customFormat="1" ht="14.25" customHeight="1" x14ac:dyDescent="0.25">
      <c r="A267" s="78" t="s">
        <v>81</v>
      </c>
      <c r="B267" s="78"/>
      <c r="C267" s="53">
        <v>21616067</v>
      </c>
      <c r="D267" s="53" t="s">
        <v>807</v>
      </c>
      <c r="E267" s="53" t="s">
        <v>722</v>
      </c>
      <c r="F267" s="53" t="s">
        <v>26</v>
      </c>
      <c r="G267" s="53" t="s">
        <v>27</v>
      </c>
      <c r="H267" s="53"/>
      <c r="I267" s="53"/>
      <c r="J267" s="53" t="s">
        <v>28</v>
      </c>
      <c r="K267" s="54"/>
      <c r="L267" s="62" t="s">
        <v>808</v>
      </c>
      <c r="M267" s="53">
        <v>6</v>
      </c>
      <c r="N267" s="55">
        <f>M267/21.287*100</f>
        <v>28.186216939916381</v>
      </c>
      <c r="O267" s="54"/>
      <c r="P267" s="53"/>
      <c r="Q267" s="54"/>
      <c r="R267" s="60" t="s">
        <v>235</v>
      </c>
      <c r="S267" s="57">
        <f>R267/90*100</f>
        <v>94.444444444444443</v>
      </c>
      <c r="T267" s="53" t="s">
        <v>31</v>
      </c>
      <c r="U267" s="55">
        <f>0.6*N267+0.4*(P267+0.9*S267)</f>
        <v>50.911730163949827</v>
      </c>
      <c r="V267" s="53">
        <v>12</v>
      </c>
      <c r="W267" s="79"/>
    </row>
    <row r="268" spans="1:23" ht="14.25" customHeight="1" x14ac:dyDescent="0.25">
      <c r="A268" s="53" t="s">
        <v>32</v>
      </c>
      <c r="B268" s="53"/>
      <c r="C268" s="53">
        <v>21616138</v>
      </c>
      <c r="D268" s="53" t="s">
        <v>755</v>
      </c>
      <c r="E268" s="53" t="s">
        <v>722</v>
      </c>
      <c r="F268" s="53" t="s">
        <v>26</v>
      </c>
      <c r="G268" s="53" t="s">
        <v>27</v>
      </c>
      <c r="H268" s="53"/>
      <c r="I268" s="53"/>
      <c r="J268" s="53" t="s">
        <v>28</v>
      </c>
      <c r="K268" s="54" t="s">
        <v>756</v>
      </c>
      <c r="L268" s="53"/>
      <c r="M268" s="53">
        <v>4.3540000000000001</v>
      </c>
      <c r="N268" s="55">
        <f t="shared" si="18"/>
        <v>20.453798092732654</v>
      </c>
      <c r="O268" s="54" t="s">
        <v>757</v>
      </c>
      <c r="P268" s="53">
        <v>2</v>
      </c>
      <c r="Q268" s="54"/>
      <c r="R268" s="53">
        <v>85</v>
      </c>
      <c r="S268" s="55">
        <f>R268/89*100</f>
        <v>95.50561797752809</v>
      </c>
      <c r="T268" s="53" t="s">
        <v>31</v>
      </c>
      <c r="U268" s="55">
        <f t="shared" si="20"/>
        <v>47.454301327549707</v>
      </c>
      <c r="V268" s="53">
        <v>13</v>
      </c>
      <c r="W268" s="12"/>
    </row>
    <row r="269" spans="1:23" ht="14.25" customHeight="1" x14ac:dyDescent="0.25">
      <c r="A269" s="53" t="s">
        <v>76</v>
      </c>
      <c r="B269" s="53"/>
      <c r="C269" s="53">
        <v>21616170</v>
      </c>
      <c r="D269" s="53" t="s">
        <v>758</v>
      </c>
      <c r="E269" s="53" t="s">
        <v>722</v>
      </c>
      <c r="F269" s="53" t="s">
        <v>26</v>
      </c>
      <c r="G269" s="53" t="s">
        <v>27</v>
      </c>
      <c r="H269" s="53"/>
      <c r="I269" s="53"/>
      <c r="J269" s="53" t="s">
        <v>28</v>
      </c>
      <c r="K269" s="54" t="s">
        <v>759</v>
      </c>
      <c r="L269" s="53"/>
      <c r="M269" s="53">
        <v>3.9729999999999999</v>
      </c>
      <c r="N269" s="55">
        <f t="shared" si="18"/>
        <v>18.663973317047962</v>
      </c>
      <c r="O269" s="54"/>
      <c r="P269" s="53"/>
      <c r="Q269" s="54" t="s">
        <v>760</v>
      </c>
      <c r="R269" s="53">
        <v>87</v>
      </c>
      <c r="S269" s="57">
        <f>R269/90*100</f>
        <v>96.666666666666671</v>
      </c>
      <c r="T269" s="53" t="s">
        <v>31</v>
      </c>
      <c r="U269" s="55">
        <f t="shared" si="20"/>
        <v>45.998383990228781</v>
      </c>
      <c r="V269" s="53">
        <v>14</v>
      </c>
      <c r="W269" s="12"/>
    </row>
    <row r="270" spans="1:23" ht="14.25" customHeight="1" x14ac:dyDescent="0.25">
      <c r="A270" s="53" t="s">
        <v>59</v>
      </c>
      <c r="B270" s="53"/>
      <c r="C270" s="53">
        <v>21616106</v>
      </c>
      <c r="D270" s="53" t="s">
        <v>761</v>
      </c>
      <c r="E270" s="53" t="s">
        <v>722</v>
      </c>
      <c r="F270" s="53" t="s">
        <v>26</v>
      </c>
      <c r="G270" s="53" t="s">
        <v>27</v>
      </c>
      <c r="H270" s="53"/>
      <c r="I270" s="53"/>
      <c r="J270" s="53" t="s">
        <v>28</v>
      </c>
      <c r="K270" s="54" t="s">
        <v>762</v>
      </c>
      <c r="L270" s="53"/>
      <c r="M270" s="53">
        <f>1.033*2</f>
        <v>2.0659999999999998</v>
      </c>
      <c r="N270" s="55">
        <f t="shared" si="18"/>
        <v>9.7054540329778742</v>
      </c>
      <c r="O270" s="54"/>
      <c r="P270" s="53"/>
      <c r="Q270" s="54" t="s">
        <v>763</v>
      </c>
      <c r="R270" s="53">
        <v>87</v>
      </c>
      <c r="S270" s="56">
        <f>R270/90*100</f>
        <v>96.666666666666671</v>
      </c>
      <c r="T270" s="53" t="s">
        <v>40</v>
      </c>
      <c r="U270" s="55">
        <f t="shared" si="20"/>
        <v>40.62327241978673</v>
      </c>
      <c r="V270" s="53">
        <v>15</v>
      </c>
      <c r="W270" s="12"/>
    </row>
    <row r="271" spans="1:23" ht="14.25" customHeight="1" x14ac:dyDescent="0.25">
      <c r="A271" s="53" t="s">
        <v>81</v>
      </c>
      <c r="B271" s="53"/>
      <c r="C271" s="53">
        <v>21616065</v>
      </c>
      <c r="D271" s="53" t="s">
        <v>764</v>
      </c>
      <c r="E271" s="53" t="s">
        <v>722</v>
      </c>
      <c r="F271" s="53" t="s">
        <v>26</v>
      </c>
      <c r="G271" s="53" t="s">
        <v>27</v>
      </c>
      <c r="H271" s="53"/>
      <c r="I271" s="53"/>
      <c r="J271" s="53" t="s">
        <v>28</v>
      </c>
      <c r="K271" s="54" t="s">
        <v>765</v>
      </c>
      <c r="L271" s="53"/>
      <c r="M271" s="53">
        <v>3.3519999999999999</v>
      </c>
      <c r="N271" s="55">
        <f t="shared" si="18"/>
        <v>15.746699863766619</v>
      </c>
      <c r="O271" s="54" t="s">
        <v>766</v>
      </c>
      <c r="P271" s="53"/>
      <c r="Q271" s="54"/>
      <c r="R271" s="60" t="s">
        <v>767</v>
      </c>
      <c r="S271" s="57">
        <f>R271/90*100</f>
        <v>85.555555555555557</v>
      </c>
      <c r="T271" s="53" t="s">
        <v>40</v>
      </c>
      <c r="U271" s="55">
        <f t="shared" si="20"/>
        <v>40.24801991825997</v>
      </c>
      <c r="V271" s="53">
        <v>16</v>
      </c>
      <c r="W271" s="12"/>
    </row>
    <row r="272" spans="1:23" ht="14.25" customHeight="1" x14ac:dyDescent="0.25">
      <c r="A272" s="53" t="s">
        <v>59</v>
      </c>
      <c r="B272" s="53"/>
      <c r="C272" s="53">
        <v>21616107</v>
      </c>
      <c r="D272" s="53" t="s">
        <v>770</v>
      </c>
      <c r="E272" s="53" t="s">
        <v>722</v>
      </c>
      <c r="F272" s="53" t="s">
        <v>26</v>
      </c>
      <c r="G272" s="53" t="s">
        <v>27</v>
      </c>
      <c r="H272" s="53"/>
      <c r="I272" s="53"/>
      <c r="J272" s="53" t="s">
        <v>28</v>
      </c>
      <c r="K272" s="54"/>
      <c r="L272" s="53"/>
      <c r="M272" s="53">
        <v>0</v>
      </c>
      <c r="N272" s="55">
        <f t="shared" si="18"/>
        <v>0</v>
      </c>
      <c r="O272" s="54" t="s">
        <v>771</v>
      </c>
      <c r="P272" s="53">
        <v>8</v>
      </c>
      <c r="Q272" s="54"/>
      <c r="R272" s="53">
        <v>89</v>
      </c>
      <c r="S272" s="56">
        <f>R272/90*100</f>
        <v>98.888888888888886</v>
      </c>
      <c r="T272" s="53" t="s">
        <v>1006</v>
      </c>
      <c r="U272" s="55">
        <f t="shared" si="20"/>
        <v>38.800000000000004</v>
      </c>
      <c r="V272" s="53">
        <v>17</v>
      </c>
      <c r="W272" s="20"/>
    </row>
    <row r="273" spans="1:23" ht="14.25" customHeight="1" x14ac:dyDescent="0.25">
      <c r="A273" s="53" t="s">
        <v>67</v>
      </c>
      <c r="B273" s="53"/>
      <c r="C273" s="53">
        <v>21616036</v>
      </c>
      <c r="D273" s="53" t="s">
        <v>772</v>
      </c>
      <c r="E273" s="53" t="s">
        <v>722</v>
      </c>
      <c r="F273" s="53" t="s">
        <v>26</v>
      </c>
      <c r="G273" s="53" t="s">
        <v>27</v>
      </c>
      <c r="H273" s="53"/>
      <c r="I273" s="53"/>
      <c r="J273" s="53" t="s">
        <v>28</v>
      </c>
      <c r="K273" s="54"/>
      <c r="L273" s="53"/>
      <c r="M273" s="53">
        <v>0</v>
      </c>
      <c r="N273" s="55">
        <f t="shared" si="18"/>
        <v>0</v>
      </c>
      <c r="O273" s="54" t="s">
        <v>773</v>
      </c>
      <c r="P273" s="53">
        <v>9</v>
      </c>
      <c r="Q273" s="54"/>
      <c r="R273" s="53">
        <v>85</v>
      </c>
      <c r="S273" s="57">
        <f>R273/90*100</f>
        <v>94.444444444444443</v>
      </c>
      <c r="T273" s="53" t="s">
        <v>270</v>
      </c>
      <c r="U273" s="55">
        <f t="shared" si="20"/>
        <v>37.6</v>
      </c>
      <c r="V273" s="53">
        <v>18</v>
      </c>
      <c r="W273" s="12"/>
    </row>
    <row r="274" spans="1:23" ht="13.8" customHeight="1" x14ac:dyDescent="0.25">
      <c r="A274" s="53" t="s">
        <v>73</v>
      </c>
      <c r="B274" s="53"/>
      <c r="C274" s="53">
        <v>21616089</v>
      </c>
      <c r="D274" s="53" t="s">
        <v>774</v>
      </c>
      <c r="E274" s="53" t="s">
        <v>722</v>
      </c>
      <c r="F274" s="53" t="s">
        <v>26</v>
      </c>
      <c r="G274" s="53" t="s">
        <v>27</v>
      </c>
      <c r="H274" s="53"/>
      <c r="I274" s="53"/>
      <c r="J274" s="53" t="s">
        <v>28</v>
      </c>
      <c r="K274" s="54"/>
      <c r="L274" s="53"/>
      <c r="M274" s="53">
        <v>0</v>
      </c>
      <c r="N274" s="55">
        <f t="shared" si="18"/>
        <v>0</v>
      </c>
      <c r="O274" s="54" t="s">
        <v>775</v>
      </c>
      <c r="P274" s="53">
        <v>9</v>
      </c>
      <c r="Q274" s="54" t="s">
        <v>776</v>
      </c>
      <c r="R274" s="53">
        <v>85</v>
      </c>
      <c r="S274" s="56">
        <f>(R274/90)*100</f>
        <v>94.444444444444443</v>
      </c>
      <c r="T274" s="53" t="s">
        <v>1012</v>
      </c>
      <c r="U274" s="55">
        <f t="shared" si="20"/>
        <v>37.6</v>
      </c>
      <c r="V274" s="53">
        <v>18</v>
      </c>
      <c r="W274" s="12"/>
    </row>
    <row r="275" spans="1:23" ht="14.25" customHeight="1" x14ac:dyDescent="0.25">
      <c r="A275" s="53" t="s">
        <v>178</v>
      </c>
      <c r="B275" s="53"/>
      <c r="C275" s="60">
        <v>21616202</v>
      </c>
      <c r="D275" s="53" t="s">
        <v>777</v>
      </c>
      <c r="E275" s="53" t="s">
        <v>722</v>
      </c>
      <c r="F275" s="53" t="s">
        <v>26</v>
      </c>
      <c r="G275" s="53" t="s">
        <v>27</v>
      </c>
      <c r="H275" s="53"/>
      <c r="I275" s="53"/>
      <c r="J275" s="53" t="s">
        <v>28</v>
      </c>
      <c r="K275" s="54"/>
      <c r="L275" s="53"/>
      <c r="M275" s="53">
        <v>0</v>
      </c>
      <c r="N275" s="55">
        <f t="shared" si="18"/>
        <v>0</v>
      </c>
      <c r="O275" s="54" t="s">
        <v>778</v>
      </c>
      <c r="P275" s="53">
        <v>6</v>
      </c>
      <c r="Q275" s="54" t="s">
        <v>779</v>
      </c>
      <c r="R275" s="53">
        <v>88</v>
      </c>
      <c r="S275" s="56">
        <f>R275/90*100</f>
        <v>97.777777777777771</v>
      </c>
      <c r="T275" s="53" t="s">
        <v>31</v>
      </c>
      <c r="U275" s="55">
        <f t="shared" si="20"/>
        <v>37.6</v>
      </c>
      <c r="V275" s="53">
        <v>18</v>
      </c>
      <c r="W275" s="12"/>
    </row>
    <row r="276" spans="1:23" ht="14.25" customHeight="1" x14ac:dyDescent="0.25">
      <c r="A276" s="53" t="s">
        <v>73</v>
      </c>
      <c r="B276" s="53"/>
      <c r="C276" s="53">
        <v>21616095</v>
      </c>
      <c r="D276" s="53" t="s">
        <v>780</v>
      </c>
      <c r="E276" s="53" t="s">
        <v>722</v>
      </c>
      <c r="F276" s="53" t="s">
        <v>26</v>
      </c>
      <c r="G276" s="53" t="s">
        <v>27</v>
      </c>
      <c r="H276" s="53"/>
      <c r="I276" s="53"/>
      <c r="J276" s="53" t="s">
        <v>28</v>
      </c>
      <c r="K276" s="54"/>
      <c r="L276" s="53"/>
      <c r="M276" s="53">
        <v>0</v>
      </c>
      <c r="N276" s="55">
        <f t="shared" si="18"/>
        <v>0</v>
      </c>
      <c r="O276" s="54" t="s">
        <v>781</v>
      </c>
      <c r="P276" s="53">
        <v>8</v>
      </c>
      <c r="Q276" s="54" t="s">
        <v>782</v>
      </c>
      <c r="R276" s="53">
        <v>85</v>
      </c>
      <c r="S276" s="56">
        <f>(R276/90)*100</f>
        <v>94.444444444444443</v>
      </c>
      <c r="T276" s="53" t="s">
        <v>270</v>
      </c>
      <c r="U276" s="55">
        <f t="shared" si="20"/>
        <v>37.200000000000003</v>
      </c>
      <c r="V276" s="53">
        <v>21</v>
      </c>
      <c r="W276" s="12"/>
    </row>
    <row r="277" spans="1:23" ht="14.25" customHeight="1" x14ac:dyDescent="0.25">
      <c r="A277" s="53" t="s">
        <v>73</v>
      </c>
      <c r="B277" s="53"/>
      <c r="C277" s="53">
        <v>21616084</v>
      </c>
      <c r="D277" s="53" t="s">
        <v>783</v>
      </c>
      <c r="E277" s="53" t="s">
        <v>722</v>
      </c>
      <c r="F277" s="53" t="s">
        <v>26</v>
      </c>
      <c r="G277" s="53" t="s">
        <v>27</v>
      </c>
      <c r="H277" s="53"/>
      <c r="I277" s="53"/>
      <c r="J277" s="53" t="s">
        <v>28</v>
      </c>
      <c r="K277" s="54"/>
      <c r="L277" s="53"/>
      <c r="M277" s="53">
        <v>0</v>
      </c>
      <c r="N277" s="55">
        <f t="shared" si="18"/>
        <v>0</v>
      </c>
      <c r="O277" s="54" t="s">
        <v>784</v>
      </c>
      <c r="P277" s="53">
        <v>7</v>
      </c>
      <c r="Q277" s="54"/>
      <c r="R277" s="53">
        <v>85</v>
      </c>
      <c r="S277" s="56">
        <f>(R277/90)*100</f>
        <v>94.444444444444443</v>
      </c>
      <c r="T277" s="53" t="s">
        <v>40</v>
      </c>
      <c r="U277" s="55">
        <f t="shared" si="20"/>
        <v>36.800000000000004</v>
      </c>
      <c r="V277" s="53">
        <v>22</v>
      </c>
      <c r="W277" s="12"/>
    </row>
    <row r="278" spans="1:23" ht="14.25" customHeight="1" x14ac:dyDescent="0.25">
      <c r="A278" s="53" t="s">
        <v>73</v>
      </c>
      <c r="B278" s="53"/>
      <c r="C278" s="53">
        <v>21616091</v>
      </c>
      <c r="D278" s="53" t="s">
        <v>785</v>
      </c>
      <c r="E278" s="53" t="s">
        <v>722</v>
      </c>
      <c r="F278" s="53" t="s">
        <v>786</v>
      </c>
      <c r="G278" s="53" t="s">
        <v>27</v>
      </c>
      <c r="H278" s="53"/>
      <c r="I278" s="53"/>
      <c r="J278" s="53" t="s">
        <v>28</v>
      </c>
      <c r="K278" s="54"/>
      <c r="L278" s="53"/>
      <c r="M278" s="53">
        <v>0</v>
      </c>
      <c r="N278" s="55">
        <f t="shared" si="18"/>
        <v>0</v>
      </c>
      <c r="O278" s="54" t="s">
        <v>787</v>
      </c>
      <c r="P278" s="53">
        <v>7</v>
      </c>
      <c r="Q278" s="54" t="s">
        <v>788</v>
      </c>
      <c r="R278" s="53">
        <v>85</v>
      </c>
      <c r="S278" s="56">
        <f>(R278/90)*100</f>
        <v>94.444444444444443</v>
      </c>
      <c r="T278" s="53" t="s">
        <v>270</v>
      </c>
      <c r="U278" s="55">
        <f t="shared" si="20"/>
        <v>36.800000000000004</v>
      </c>
      <c r="V278" s="53">
        <v>22</v>
      </c>
      <c r="W278" s="12"/>
    </row>
    <row r="279" spans="1:23" ht="14.25" customHeight="1" x14ac:dyDescent="0.25">
      <c r="A279" s="53" t="s">
        <v>178</v>
      </c>
      <c r="B279" s="53"/>
      <c r="C279" s="60">
        <v>21616192</v>
      </c>
      <c r="D279" s="53" t="s">
        <v>789</v>
      </c>
      <c r="E279" s="53" t="s">
        <v>722</v>
      </c>
      <c r="F279" s="53" t="s">
        <v>26</v>
      </c>
      <c r="G279" s="53" t="s">
        <v>27</v>
      </c>
      <c r="H279" s="53"/>
      <c r="I279" s="53"/>
      <c r="J279" s="53" t="s">
        <v>28</v>
      </c>
      <c r="K279" s="54"/>
      <c r="L279" s="53"/>
      <c r="M279" s="53">
        <v>0</v>
      </c>
      <c r="N279" s="55">
        <f t="shared" si="18"/>
        <v>0</v>
      </c>
      <c r="O279" s="54" t="s">
        <v>790</v>
      </c>
      <c r="P279" s="53">
        <v>7</v>
      </c>
      <c r="Q279" s="54" t="s">
        <v>791</v>
      </c>
      <c r="R279" s="53">
        <v>83</v>
      </c>
      <c r="S279" s="56">
        <f>R279/90*100</f>
        <v>92.222222222222229</v>
      </c>
      <c r="T279" s="53"/>
      <c r="U279" s="55">
        <f t="shared" si="20"/>
        <v>36.000000000000007</v>
      </c>
      <c r="V279" s="53">
        <v>24</v>
      </c>
      <c r="W279" s="12"/>
    </row>
    <row r="280" spans="1:23" ht="14.25" customHeight="1" x14ac:dyDescent="0.25">
      <c r="A280" s="53" t="s">
        <v>67</v>
      </c>
      <c r="B280" s="53"/>
      <c r="C280" s="53">
        <v>21616037</v>
      </c>
      <c r="D280" s="53" t="s">
        <v>792</v>
      </c>
      <c r="E280" s="53" t="s">
        <v>722</v>
      </c>
      <c r="F280" s="53" t="s">
        <v>26</v>
      </c>
      <c r="G280" s="53" t="s">
        <v>27</v>
      </c>
      <c r="H280" s="53"/>
      <c r="I280" s="53"/>
      <c r="J280" s="53" t="s">
        <v>28</v>
      </c>
      <c r="K280" s="54"/>
      <c r="L280" s="53"/>
      <c r="M280" s="53">
        <v>0</v>
      </c>
      <c r="N280" s="55">
        <f t="shared" si="18"/>
        <v>0</v>
      </c>
      <c r="O280" s="54"/>
      <c r="P280" s="53"/>
      <c r="Q280" s="54"/>
      <c r="R280" s="53">
        <v>90</v>
      </c>
      <c r="S280" s="57">
        <f>R280/90*100</f>
        <v>100</v>
      </c>
      <c r="T280" s="53"/>
      <c r="U280" s="55">
        <f t="shared" si="20"/>
        <v>36</v>
      </c>
      <c r="V280" s="53">
        <v>24</v>
      </c>
      <c r="W280" s="12"/>
    </row>
    <row r="281" spans="1:23" ht="14.25" customHeight="1" x14ac:dyDescent="0.25">
      <c r="A281" s="53" t="s">
        <v>32</v>
      </c>
      <c r="B281" s="53"/>
      <c r="C281" s="53">
        <v>21616139</v>
      </c>
      <c r="D281" s="53" t="s">
        <v>768</v>
      </c>
      <c r="E281" s="53" t="s">
        <v>722</v>
      </c>
      <c r="F281" s="53" t="s">
        <v>26</v>
      </c>
      <c r="G281" s="53" t="s">
        <v>27</v>
      </c>
      <c r="H281" s="53"/>
      <c r="I281" s="53"/>
      <c r="J281" s="53" t="s">
        <v>28</v>
      </c>
      <c r="K281" s="58"/>
      <c r="L281" s="53"/>
      <c r="M281" s="53">
        <v>0</v>
      </c>
      <c r="N281" s="55">
        <f>M281/21.287*100</f>
        <v>0</v>
      </c>
      <c r="O281" s="54" t="s">
        <v>769</v>
      </c>
      <c r="P281" s="53">
        <v>2</v>
      </c>
      <c r="Q281" s="54"/>
      <c r="R281" s="53">
        <v>86</v>
      </c>
      <c r="S281" s="55">
        <f>R281/89*100</f>
        <v>96.629213483146074</v>
      </c>
      <c r="T281" s="53" t="s">
        <v>40</v>
      </c>
      <c r="U281" s="55">
        <f>0.6*N281+0.4*(P281+0.9*S281)</f>
        <v>35.586516853932586</v>
      </c>
      <c r="V281" s="53">
        <v>26</v>
      </c>
      <c r="W281" s="12"/>
    </row>
    <row r="282" spans="1:23" ht="14.25" customHeight="1" x14ac:dyDescent="0.25">
      <c r="A282" s="53" t="s">
        <v>73</v>
      </c>
      <c r="B282" s="53"/>
      <c r="C282" s="53">
        <v>21616094</v>
      </c>
      <c r="D282" s="53" t="s">
        <v>793</v>
      </c>
      <c r="E282" s="53" t="s">
        <v>722</v>
      </c>
      <c r="F282" s="53" t="s">
        <v>26</v>
      </c>
      <c r="G282" s="53" t="s">
        <v>27</v>
      </c>
      <c r="H282" s="53"/>
      <c r="I282" s="53"/>
      <c r="J282" s="53" t="s">
        <v>28</v>
      </c>
      <c r="K282" s="61"/>
      <c r="L282" s="53"/>
      <c r="M282" s="53">
        <v>0</v>
      </c>
      <c r="N282" s="55">
        <f t="shared" si="18"/>
        <v>0</v>
      </c>
      <c r="O282" s="54" t="s">
        <v>794</v>
      </c>
      <c r="P282" s="53">
        <v>3</v>
      </c>
      <c r="Q282" s="54"/>
      <c r="R282" s="53">
        <v>85</v>
      </c>
      <c r="S282" s="56">
        <f>(R282/90)*100</f>
        <v>94.444444444444443</v>
      </c>
      <c r="T282" s="53"/>
      <c r="U282" s="55">
        <f t="shared" si="20"/>
        <v>35.200000000000003</v>
      </c>
      <c r="V282" s="53">
        <v>27</v>
      </c>
      <c r="W282" s="12"/>
    </row>
    <row r="283" spans="1:23" ht="14.25" customHeight="1" x14ac:dyDescent="0.25">
      <c r="A283" s="53" t="s">
        <v>178</v>
      </c>
      <c r="B283" s="53"/>
      <c r="C283" s="60">
        <v>21616195</v>
      </c>
      <c r="D283" s="53" t="s">
        <v>795</v>
      </c>
      <c r="E283" s="53" t="s">
        <v>722</v>
      </c>
      <c r="F283" s="53" t="s">
        <v>26</v>
      </c>
      <c r="G283" s="53" t="s">
        <v>27</v>
      </c>
      <c r="H283" s="53"/>
      <c r="I283" s="53"/>
      <c r="J283" s="53" t="s">
        <v>28</v>
      </c>
      <c r="K283" s="54"/>
      <c r="L283" s="53"/>
      <c r="M283" s="53">
        <v>0</v>
      </c>
      <c r="N283" s="55">
        <f t="shared" si="18"/>
        <v>0</v>
      </c>
      <c r="O283" s="54" t="s">
        <v>796</v>
      </c>
      <c r="P283" s="53">
        <v>0</v>
      </c>
      <c r="Q283" s="54" t="s">
        <v>797</v>
      </c>
      <c r="R283" s="53">
        <v>87</v>
      </c>
      <c r="S283" s="56">
        <f>R283/90*100</f>
        <v>96.666666666666671</v>
      </c>
      <c r="T283" s="53" t="s">
        <v>40</v>
      </c>
      <c r="U283" s="55">
        <f t="shared" si="20"/>
        <v>34.800000000000004</v>
      </c>
      <c r="V283" s="53">
        <v>28</v>
      </c>
      <c r="W283" s="12"/>
    </row>
    <row r="284" spans="1:23" ht="14.25" customHeight="1" x14ac:dyDescent="0.25">
      <c r="A284" s="53" t="s">
        <v>59</v>
      </c>
      <c r="B284" s="53"/>
      <c r="C284" s="53">
        <v>21616102</v>
      </c>
      <c r="D284" s="53" t="s">
        <v>798</v>
      </c>
      <c r="E284" s="53" t="s">
        <v>722</v>
      </c>
      <c r="F284" s="53" t="s">
        <v>26</v>
      </c>
      <c r="G284" s="53" t="s">
        <v>27</v>
      </c>
      <c r="H284" s="53"/>
      <c r="I284" s="53"/>
      <c r="J284" s="53" t="s">
        <v>28</v>
      </c>
      <c r="K284" s="54"/>
      <c r="L284" s="53"/>
      <c r="M284" s="53">
        <v>0</v>
      </c>
      <c r="N284" s="55">
        <f t="shared" si="18"/>
        <v>0</v>
      </c>
      <c r="O284" s="54" t="s">
        <v>799</v>
      </c>
      <c r="P284" s="53">
        <v>0</v>
      </c>
      <c r="Q284" s="54" t="s">
        <v>800</v>
      </c>
      <c r="R284" s="53">
        <v>86</v>
      </c>
      <c r="S284" s="56">
        <f>R284/90*100</f>
        <v>95.555555555555557</v>
      </c>
      <c r="T284" s="53"/>
      <c r="U284" s="55">
        <f t="shared" si="20"/>
        <v>34.4</v>
      </c>
      <c r="V284" s="53">
        <v>29</v>
      </c>
      <c r="W284" s="12"/>
    </row>
    <row r="285" spans="1:23" ht="14.25" customHeight="1" x14ac:dyDescent="0.25">
      <c r="A285" s="53" t="s">
        <v>59</v>
      </c>
      <c r="B285" s="53"/>
      <c r="C285" s="53">
        <v>21616109</v>
      </c>
      <c r="D285" s="53" t="s">
        <v>801</v>
      </c>
      <c r="E285" s="53" t="s">
        <v>722</v>
      </c>
      <c r="F285" s="53" t="s">
        <v>26</v>
      </c>
      <c r="G285" s="53" t="s">
        <v>27</v>
      </c>
      <c r="H285" s="53"/>
      <c r="I285" s="53"/>
      <c r="J285" s="53" t="s">
        <v>28</v>
      </c>
      <c r="K285" s="54"/>
      <c r="L285" s="53"/>
      <c r="M285" s="53">
        <v>0</v>
      </c>
      <c r="N285" s="55">
        <f t="shared" si="18"/>
        <v>0</v>
      </c>
      <c r="O285" s="54"/>
      <c r="P285" s="53">
        <v>0</v>
      </c>
      <c r="Q285" s="54"/>
      <c r="R285" s="53">
        <v>86</v>
      </c>
      <c r="S285" s="56">
        <f>R285/90*100</f>
        <v>95.555555555555557</v>
      </c>
      <c r="T285" s="53"/>
      <c r="U285" s="55">
        <f t="shared" si="20"/>
        <v>34.4</v>
      </c>
      <c r="V285" s="53">
        <v>29</v>
      </c>
      <c r="W285" s="12"/>
    </row>
    <row r="286" spans="1:23" ht="13.8" customHeight="1" x14ac:dyDescent="0.25">
      <c r="A286" s="53" t="s">
        <v>178</v>
      </c>
      <c r="B286" s="53"/>
      <c r="C286" s="60">
        <v>21616203</v>
      </c>
      <c r="D286" s="53" t="s">
        <v>802</v>
      </c>
      <c r="E286" s="53" t="s">
        <v>722</v>
      </c>
      <c r="F286" s="53" t="s">
        <v>26</v>
      </c>
      <c r="G286" s="53" t="s">
        <v>27</v>
      </c>
      <c r="H286" s="53"/>
      <c r="I286" s="53"/>
      <c r="J286" s="53" t="s">
        <v>28</v>
      </c>
      <c r="K286" s="54"/>
      <c r="L286" s="53"/>
      <c r="M286" s="53">
        <v>0</v>
      </c>
      <c r="N286" s="55">
        <f t="shared" si="18"/>
        <v>0</v>
      </c>
      <c r="O286" s="54"/>
      <c r="P286" s="53">
        <v>0</v>
      </c>
      <c r="Q286" s="54" t="s">
        <v>803</v>
      </c>
      <c r="R286" s="53">
        <v>86</v>
      </c>
      <c r="S286" s="56">
        <f>R286/90*100</f>
        <v>95.555555555555557</v>
      </c>
      <c r="T286" s="53"/>
      <c r="U286" s="55">
        <f t="shared" si="20"/>
        <v>34.4</v>
      </c>
      <c r="V286" s="53">
        <v>29</v>
      </c>
      <c r="W286" s="12"/>
    </row>
    <row r="287" spans="1:23" ht="14.25" customHeight="1" x14ac:dyDescent="0.25">
      <c r="A287" s="53" t="s">
        <v>178</v>
      </c>
      <c r="B287" s="53"/>
      <c r="C287" s="60">
        <v>21616197</v>
      </c>
      <c r="D287" s="53" t="s">
        <v>804</v>
      </c>
      <c r="E287" s="53" t="s">
        <v>722</v>
      </c>
      <c r="F287" s="53" t="s">
        <v>26</v>
      </c>
      <c r="G287" s="53" t="s">
        <v>27</v>
      </c>
      <c r="H287" s="53"/>
      <c r="I287" s="53"/>
      <c r="J287" s="53" t="s">
        <v>28</v>
      </c>
      <c r="K287" s="54"/>
      <c r="L287" s="53"/>
      <c r="M287" s="53">
        <v>0</v>
      </c>
      <c r="N287" s="55">
        <f t="shared" si="18"/>
        <v>0</v>
      </c>
      <c r="O287" s="54"/>
      <c r="P287" s="53">
        <v>0</v>
      </c>
      <c r="Q287" s="54" t="s">
        <v>805</v>
      </c>
      <c r="R287" s="53">
        <v>86</v>
      </c>
      <c r="S287" s="56">
        <f>R287/90*100</f>
        <v>95.555555555555557</v>
      </c>
      <c r="T287" s="53" t="s">
        <v>1021</v>
      </c>
      <c r="U287" s="55">
        <f t="shared" si="20"/>
        <v>34.4</v>
      </c>
      <c r="V287" s="53">
        <v>29</v>
      </c>
      <c r="W287" s="12"/>
    </row>
    <row r="288" spans="1:23" ht="13.8" customHeight="1" x14ac:dyDescent="0.25">
      <c r="A288" s="53" t="s">
        <v>32</v>
      </c>
      <c r="B288" s="53"/>
      <c r="C288" s="53">
        <v>21616141</v>
      </c>
      <c r="D288" s="53" t="s">
        <v>806</v>
      </c>
      <c r="E288" s="53" t="s">
        <v>722</v>
      </c>
      <c r="F288" s="53" t="s">
        <v>26</v>
      </c>
      <c r="G288" s="53" t="s">
        <v>27</v>
      </c>
      <c r="H288" s="53"/>
      <c r="I288" s="53"/>
      <c r="J288" s="53" t="s">
        <v>28</v>
      </c>
      <c r="K288" s="54"/>
      <c r="L288" s="53"/>
      <c r="M288" s="53">
        <v>0</v>
      </c>
      <c r="N288" s="55">
        <f t="shared" si="18"/>
        <v>0</v>
      </c>
      <c r="O288" s="54" t="s">
        <v>643</v>
      </c>
      <c r="P288" s="53">
        <v>0</v>
      </c>
      <c r="Q288" s="54"/>
      <c r="R288" s="53">
        <v>85</v>
      </c>
      <c r="S288" s="55">
        <f>R288/89*100</f>
        <v>95.50561797752809</v>
      </c>
      <c r="T288" s="53" t="s">
        <v>40</v>
      </c>
      <c r="U288" s="55">
        <f t="shared" si="20"/>
        <v>34.382022471910112</v>
      </c>
      <c r="V288" s="53">
        <v>33</v>
      </c>
      <c r="W288" s="12"/>
    </row>
    <row r="289" spans="1:23" ht="14.25" customHeight="1" x14ac:dyDescent="0.25">
      <c r="A289" s="53" t="s">
        <v>73</v>
      </c>
      <c r="B289" s="53"/>
      <c r="C289" s="53">
        <v>21616085</v>
      </c>
      <c r="D289" s="53" t="s">
        <v>809</v>
      </c>
      <c r="E289" s="53" t="s">
        <v>722</v>
      </c>
      <c r="F289" s="53" t="s">
        <v>26</v>
      </c>
      <c r="G289" s="53" t="s">
        <v>27</v>
      </c>
      <c r="H289" s="53"/>
      <c r="I289" s="53"/>
      <c r="J289" s="53" t="s">
        <v>28</v>
      </c>
      <c r="K289" s="54"/>
      <c r="L289" s="53"/>
      <c r="M289" s="53">
        <v>0</v>
      </c>
      <c r="N289" s="55">
        <f t="shared" si="18"/>
        <v>0</v>
      </c>
      <c r="O289" s="54"/>
      <c r="P289" s="53">
        <v>0</v>
      </c>
      <c r="Q289" s="54" t="s">
        <v>810</v>
      </c>
      <c r="R289" s="53">
        <v>85</v>
      </c>
      <c r="S289" s="56">
        <f>(R289/90)*100</f>
        <v>94.444444444444443</v>
      </c>
      <c r="T289" s="53"/>
      <c r="U289" s="55">
        <f t="shared" si="20"/>
        <v>34</v>
      </c>
      <c r="V289" s="53">
        <v>34</v>
      </c>
      <c r="W289" s="12"/>
    </row>
    <row r="290" spans="1:23" ht="14.25" customHeight="1" x14ac:dyDescent="0.25">
      <c r="A290" s="53" t="s">
        <v>59</v>
      </c>
      <c r="B290" s="53"/>
      <c r="C290" s="53">
        <v>21616105</v>
      </c>
      <c r="D290" s="53" t="s">
        <v>811</v>
      </c>
      <c r="E290" s="53" t="s">
        <v>722</v>
      </c>
      <c r="F290" s="53" t="s">
        <v>26</v>
      </c>
      <c r="G290" s="53" t="s">
        <v>27</v>
      </c>
      <c r="H290" s="53"/>
      <c r="I290" s="53"/>
      <c r="J290" s="53" t="s">
        <v>28</v>
      </c>
      <c r="K290" s="54"/>
      <c r="L290" s="53"/>
      <c r="M290" s="53">
        <v>0</v>
      </c>
      <c r="N290" s="55">
        <f t="shared" si="18"/>
        <v>0</v>
      </c>
      <c r="O290" s="54" t="s">
        <v>812</v>
      </c>
      <c r="P290" s="53">
        <v>0</v>
      </c>
      <c r="Q290" s="54"/>
      <c r="R290" s="53">
        <v>85</v>
      </c>
      <c r="S290" s="56">
        <f t="shared" ref="S290:S295" si="21">R290/90*100</f>
        <v>94.444444444444443</v>
      </c>
      <c r="T290" s="53"/>
      <c r="U290" s="55">
        <f t="shared" si="20"/>
        <v>34</v>
      </c>
      <c r="V290" s="53">
        <v>34</v>
      </c>
      <c r="W290" s="12"/>
    </row>
    <row r="291" spans="1:23" ht="14.25" customHeight="1" x14ac:dyDescent="0.25">
      <c r="A291" s="53" t="s">
        <v>178</v>
      </c>
      <c r="B291" s="53"/>
      <c r="C291" s="60">
        <v>21616193</v>
      </c>
      <c r="D291" s="53" t="s">
        <v>813</v>
      </c>
      <c r="E291" s="53" t="s">
        <v>722</v>
      </c>
      <c r="F291" s="53" t="s">
        <v>26</v>
      </c>
      <c r="G291" s="53" t="s">
        <v>27</v>
      </c>
      <c r="H291" s="53"/>
      <c r="I291" s="53"/>
      <c r="J291" s="53" t="s">
        <v>28</v>
      </c>
      <c r="K291" s="54"/>
      <c r="L291" s="53"/>
      <c r="M291" s="53">
        <v>0</v>
      </c>
      <c r="N291" s="55">
        <f t="shared" si="18"/>
        <v>0</v>
      </c>
      <c r="O291" s="54" t="s">
        <v>814</v>
      </c>
      <c r="P291" s="53">
        <v>0</v>
      </c>
      <c r="Q291" s="54"/>
      <c r="R291" s="53">
        <v>85</v>
      </c>
      <c r="S291" s="56">
        <f t="shared" si="21"/>
        <v>94.444444444444443</v>
      </c>
      <c r="T291" s="53"/>
      <c r="U291" s="55">
        <f t="shared" si="20"/>
        <v>34</v>
      </c>
      <c r="V291" s="53">
        <v>34</v>
      </c>
      <c r="W291" s="12"/>
    </row>
    <row r="292" spans="1:23" ht="14.25" customHeight="1" x14ac:dyDescent="0.25">
      <c r="A292" s="53" t="s">
        <v>178</v>
      </c>
      <c r="B292" s="53"/>
      <c r="C292" s="60">
        <v>21616190</v>
      </c>
      <c r="D292" s="53" t="s">
        <v>815</v>
      </c>
      <c r="E292" s="53" t="s">
        <v>722</v>
      </c>
      <c r="F292" s="53" t="s">
        <v>26</v>
      </c>
      <c r="G292" s="53" t="s">
        <v>27</v>
      </c>
      <c r="H292" s="53"/>
      <c r="I292" s="53"/>
      <c r="J292" s="53" t="s">
        <v>28</v>
      </c>
      <c r="K292" s="54"/>
      <c r="L292" s="53"/>
      <c r="M292" s="53">
        <v>0</v>
      </c>
      <c r="N292" s="55">
        <f t="shared" si="18"/>
        <v>0</v>
      </c>
      <c r="O292" s="54" t="s">
        <v>816</v>
      </c>
      <c r="P292" s="53">
        <v>0</v>
      </c>
      <c r="Q292" s="54" t="s">
        <v>817</v>
      </c>
      <c r="R292" s="53">
        <v>85</v>
      </c>
      <c r="S292" s="56">
        <f t="shared" si="21"/>
        <v>94.444444444444443</v>
      </c>
      <c r="T292" s="53" t="s">
        <v>1006</v>
      </c>
      <c r="U292" s="55">
        <f t="shared" si="20"/>
        <v>34</v>
      </c>
      <c r="V292" s="53">
        <v>34</v>
      </c>
      <c r="W292" s="20"/>
    </row>
    <row r="293" spans="1:23" ht="14.25" customHeight="1" x14ac:dyDescent="0.25">
      <c r="A293" s="53" t="s">
        <v>178</v>
      </c>
      <c r="B293" s="53"/>
      <c r="C293" s="60">
        <v>21616201</v>
      </c>
      <c r="D293" s="53" t="s">
        <v>818</v>
      </c>
      <c r="E293" s="53" t="s">
        <v>722</v>
      </c>
      <c r="F293" s="53" t="s">
        <v>26</v>
      </c>
      <c r="G293" s="53" t="s">
        <v>27</v>
      </c>
      <c r="H293" s="53"/>
      <c r="I293" s="53"/>
      <c r="J293" s="53" t="s">
        <v>28</v>
      </c>
      <c r="K293" s="54"/>
      <c r="L293" s="53"/>
      <c r="M293" s="53">
        <v>0</v>
      </c>
      <c r="N293" s="55">
        <f t="shared" si="18"/>
        <v>0</v>
      </c>
      <c r="O293" s="54" t="s">
        <v>819</v>
      </c>
      <c r="P293" s="53">
        <v>0</v>
      </c>
      <c r="Q293" s="54"/>
      <c r="R293" s="53">
        <v>85</v>
      </c>
      <c r="S293" s="56">
        <f t="shared" si="21"/>
        <v>94.444444444444443</v>
      </c>
      <c r="T293" s="53"/>
      <c r="U293" s="55">
        <f t="shared" si="20"/>
        <v>34</v>
      </c>
      <c r="V293" s="53">
        <v>34</v>
      </c>
      <c r="W293" s="12"/>
    </row>
    <row r="294" spans="1:23" ht="14.25" customHeight="1" x14ac:dyDescent="0.25">
      <c r="A294" s="53" t="s">
        <v>178</v>
      </c>
      <c r="B294" s="53"/>
      <c r="C294" s="60">
        <v>21616191</v>
      </c>
      <c r="D294" s="53" t="s">
        <v>820</v>
      </c>
      <c r="E294" s="53" t="s">
        <v>722</v>
      </c>
      <c r="F294" s="53" t="s">
        <v>26</v>
      </c>
      <c r="G294" s="53" t="s">
        <v>27</v>
      </c>
      <c r="H294" s="53"/>
      <c r="I294" s="53"/>
      <c r="J294" s="53" t="s">
        <v>28</v>
      </c>
      <c r="K294" s="54"/>
      <c r="L294" s="53"/>
      <c r="M294" s="53">
        <v>0</v>
      </c>
      <c r="N294" s="55">
        <f t="shared" si="18"/>
        <v>0</v>
      </c>
      <c r="O294" s="54" t="s">
        <v>796</v>
      </c>
      <c r="P294" s="53">
        <v>0</v>
      </c>
      <c r="Q294" s="54"/>
      <c r="R294" s="53">
        <v>85</v>
      </c>
      <c r="S294" s="56">
        <f t="shared" si="21"/>
        <v>94.444444444444443</v>
      </c>
      <c r="T294" s="53"/>
      <c r="U294" s="55">
        <f t="shared" si="20"/>
        <v>34</v>
      </c>
      <c r="V294" s="53">
        <v>34</v>
      </c>
      <c r="W294" s="12"/>
    </row>
    <row r="295" spans="1:23" ht="14.25" customHeight="1" x14ac:dyDescent="0.25">
      <c r="A295" s="53" t="s">
        <v>178</v>
      </c>
      <c r="B295" s="53"/>
      <c r="C295" s="60">
        <v>21616199</v>
      </c>
      <c r="D295" s="53" t="s">
        <v>821</v>
      </c>
      <c r="E295" s="53" t="s">
        <v>722</v>
      </c>
      <c r="F295" s="53" t="s">
        <v>26</v>
      </c>
      <c r="G295" s="53" t="s">
        <v>27</v>
      </c>
      <c r="H295" s="53"/>
      <c r="I295" s="53"/>
      <c r="J295" s="53" t="s">
        <v>28</v>
      </c>
      <c r="K295" s="54"/>
      <c r="L295" s="53"/>
      <c r="M295" s="53">
        <v>0</v>
      </c>
      <c r="N295" s="55">
        <f t="shared" si="18"/>
        <v>0</v>
      </c>
      <c r="O295" s="54" t="s">
        <v>822</v>
      </c>
      <c r="P295" s="53">
        <v>0</v>
      </c>
      <c r="Q295" s="54" t="s">
        <v>823</v>
      </c>
      <c r="R295" s="53">
        <v>85</v>
      </c>
      <c r="S295" s="56">
        <f t="shared" si="21"/>
        <v>94.444444444444443</v>
      </c>
      <c r="T295" s="53"/>
      <c r="U295" s="55">
        <f t="shared" si="20"/>
        <v>34</v>
      </c>
      <c r="V295" s="53">
        <v>34</v>
      </c>
      <c r="W295" s="12"/>
    </row>
    <row r="296" spans="1:23" ht="14.25" customHeight="1" x14ac:dyDescent="0.25">
      <c r="A296" s="53" t="s">
        <v>32</v>
      </c>
      <c r="B296" s="53"/>
      <c r="C296" s="53">
        <v>21616135</v>
      </c>
      <c r="D296" s="53" t="s">
        <v>824</v>
      </c>
      <c r="E296" s="53" t="s">
        <v>722</v>
      </c>
      <c r="F296" s="53" t="s">
        <v>26</v>
      </c>
      <c r="G296" s="53" t="s">
        <v>27</v>
      </c>
      <c r="H296" s="53"/>
      <c r="I296" s="53"/>
      <c r="J296" s="53" t="s">
        <v>28</v>
      </c>
      <c r="K296" s="54"/>
      <c r="L296" s="53"/>
      <c r="M296" s="53">
        <v>0</v>
      </c>
      <c r="N296" s="55">
        <f t="shared" si="18"/>
        <v>0</v>
      </c>
      <c r="O296" s="54"/>
      <c r="P296" s="53">
        <v>0</v>
      </c>
      <c r="Q296" s="54"/>
      <c r="R296" s="53">
        <v>84</v>
      </c>
      <c r="S296" s="55">
        <f>R296/89*100</f>
        <v>94.382022471910105</v>
      </c>
      <c r="T296" s="53"/>
      <c r="U296" s="55">
        <f t="shared" si="20"/>
        <v>33.977528089887635</v>
      </c>
      <c r="V296" s="53">
        <v>41</v>
      </c>
      <c r="W296" s="12"/>
    </row>
    <row r="297" spans="1:23" ht="14.25" customHeight="1" x14ac:dyDescent="0.25">
      <c r="A297" s="53" t="s">
        <v>178</v>
      </c>
      <c r="B297" s="53"/>
      <c r="C297" s="60">
        <v>21616198</v>
      </c>
      <c r="D297" s="53" t="s">
        <v>825</v>
      </c>
      <c r="E297" s="53" t="s">
        <v>722</v>
      </c>
      <c r="F297" s="53" t="s">
        <v>26</v>
      </c>
      <c r="G297" s="53" t="s">
        <v>27</v>
      </c>
      <c r="H297" s="53"/>
      <c r="I297" s="53"/>
      <c r="J297" s="53" t="s">
        <v>28</v>
      </c>
      <c r="K297" s="54"/>
      <c r="L297" s="53"/>
      <c r="M297" s="53">
        <v>0</v>
      </c>
      <c r="N297" s="55">
        <f t="shared" si="18"/>
        <v>0</v>
      </c>
      <c r="O297" s="54"/>
      <c r="P297" s="53">
        <v>0</v>
      </c>
      <c r="Q297" s="54" t="s">
        <v>826</v>
      </c>
      <c r="R297" s="53">
        <v>84</v>
      </c>
      <c r="S297" s="56">
        <f t="shared" ref="S297:S303" si="22">R297/90*100</f>
        <v>93.333333333333329</v>
      </c>
      <c r="T297" s="53"/>
      <c r="U297" s="55">
        <f t="shared" si="20"/>
        <v>33.6</v>
      </c>
      <c r="V297" s="53">
        <v>42</v>
      </c>
      <c r="W297" s="12"/>
    </row>
    <row r="298" spans="1:23" ht="14.25" customHeight="1" x14ac:dyDescent="0.25">
      <c r="A298" s="53" t="s">
        <v>178</v>
      </c>
      <c r="B298" s="53"/>
      <c r="C298" s="60">
        <v>21616196</v>
      </c>
      <c r="D298" s="53" t="s">
        <v>827</v>
      </c>
      <c r="E298" s="53" t="s">
        <v>722</v>
      </c>
      <c r="F298" s="53" t="s">
        <v>26</v>
      </c>
      <c r="G298" s="53" t="s">
        <v>27</v>
      </c>
      <c r="H298" s="53"/>
      <c r="I298" s="53"/>
      <c r="J298" s="53" t="s">
        <v>28</v>
      </c>
      <c r="K298" s="54"/>
      <c r="L298" s="53"/>
      <c r="M298" s="53">
        <v>0</v>
      </c>
      <c r="N298" s="55">
        <f t="shared" si="18"/>
        <v>0</v>
      </c>
      <c r="O298" s="54"/>
      <c r="P298" s="53">
        <v>0</v>
      </c>
      <c r="Q298" s="54"/>
      <c r="R298" s="53">
        <v>80</v>
      </c>
      <c r="S298" s="56">
        <f t="shared" si="22"/>
        <v>88.888888888888886</v>
      </c>
      <c r="T298" s="53"/>
      <c r="U298" s="55">
        <f t="shared" si="20"/>
        <v>32</v>
      </c>
      <c r="V298" s="53">
        <v>43</v>
      </c>
      <c r="W298" s="12"/>
    </row>
    <row r="299" spans="1:23" ht="14.25" customHeight="1" x14ac:dyDescent="0.25">
      <c r="A299" s="53" t="s">
        <v>178</v>
      </c>
      <c r="B299" s="53"/>
      <c r="C299" s="60">
        <v>21616200</v>
      </c>
      <c r="D299" s="53" t="s">
        <v>828</v>
      </c>
      <c r="E299" s="53" t="s">
        <v>722</v>
      </c>
      <c r="F299" s="53" t="s">
        <v>26</v>
      </c>
      <c r="G299" s="53" t="s">
        <v>27</v>
      </c>
      <c r="H299" s="53"/>
      <c r="I299" s="53"/>
      <c r="J299" s="53" t="s">
        <v>28</v>
      </c>
      <c r="K299" s="54"/>
      <c r="L299" s="53"/>
      <c r="M299" s="53">
        <v>0</v>
      </c>
      <c r="N299" s="55">
        <f t="shared" si="18"/>
        <v>0</v>
      </c>
      <c r="O299" s="54"/>
      <c r="P299" s="53">
        <v>0</v>
      </c>
      <c r="Q299" s="54"/>
      <c r="R299" s="53">
        <v>80</v>
      </c>
      <c r="S299" s="56">
        <f t="shared" si="22"/>
        <v>88.888888888888886</v>
      </c>
      <c r="T299" s="53"/>
      <c r="U299" s="55">
        <f t="shared" si="20"/>
        <v>32</v>
      </c>
      <c r="V299" s="53">
        <v>43</v>
      </c>
      <c r="W299" s="12"/>
    </row>
    <row r="300" spans="1:23" ht="14.25" customHeight="1" x14ac:dyDescent="0.25">
      <c r="A300" s="63" t="s">
        <v>22</v>
      </c>
      <c r="B300" s="75" t="s">
        <v>732</v>
      </c>
      <c r="C300" s="63">
        <v>21716194</v>
      </c>
      <c r="D300" s="63" t="s">
        <v>829</v>
      </c>
      <c r="E300" s="63" t="s">
        <v>830</v>
      </c>
      <c r="F300" s="63" t="s">
        <v>26</v>
      </c>
      <c r="G300" s="63" t="s">
        <v>27</v>
      </c>
      <c r="H300" s="63">
        <v>88.2</v>
      </c>
      <c r="I300" s="63">
        <f>H300/88.2*100</f>
        <v>100</v>
      </c>
      <c r="J300" s="63" t="s">
        <v>34</v>
      </c>
      <c r="K300" s="64" t="s">
        <v>831</v>
      </c>
      <c r="L300" s="63"/>
      <c r="M300" s="63">
        <f>4*7.25</f>
        <v>29</v>
      </c>
      <c r="N300" s="65">
        <f t="shared" ref="N300:N363" si="23">M300/29*100</f>
        <v>100</v>
      </c>
      <c r="O300" s="64" t="s">
        <v>832</v>
      </c>
      <c r="P300" s="63">
        <v>3</v>
      </c>
      <c r="Q300" s="64"/>
      <c r="R300" s="63">
        <v>87</v>
      </c>
      <c r="S300" s="66">
        <f t="shared" si="22"/>
        <v>96.666666666666671</v>
      </c>
      <c r="T300" s="63" t="s">
        <v>31</v>
      </c>
      <c r="U300" s="65">
        <f>0.7*I300+0.05*N300+0.25*(P300+0.9*S300)</f>
        <v>97.5</v>
      </c>
      <c r="V300" s="63">
        <v>1</v>
      </c>
      <c r="W300" s="12"/>
    </row>
    <row r="301" spans="1:23" ht="14.25" customHeight="1" x14ac:dyDescent="0.25">
      <c r="A301" s="63" t="s">
        <v>67</v>
      </c>
      <c r="B301" s="75" t="s">
        <v>833</v>
      </c>
      <c r="C301" s="67">
        <v>21716138</v>
      </c>
      <c r="D301" s="63" t="s">
        <v>834</v>
      </c>
      <c r="E301" s="63" t="s">
        <v>830</v>
      </c>
      <c r="F301" s="63" t="s">
        <v>835</v>
      </c>
      <c r="G301" s="63" t="s">
        <v>27</v>
      </c>
      <c r="H301" s="63">
        <v>88.33</v>
      </c>
      <c r="I301" s="63">
        <f>H301/88.5*100</f>
        <v>99.807909604519779</v>
      </c>
      <c r="J301" s="63" t="s">
        <v>34</v>
      </c>
      <c r="K301" s="64" t="s">
        <v>836</v>
      </c>
      <c r="L301" s="63"/>
      <c r="M301" s="63">
        <f>3.878*7</f>
        <v>27.146000000000001</v>
      </c>
      <c r="N301" s="65">
        <f t="shared" si="23"/>
        <v>93.606896551724134</v>
      </c>
      <c r="O301" s="64" t="s">
        <v>837</v>
      </c>
      <c r="P301" s="63"/>
      <c r="Q301" s="64" t="s">
        <v>838</v>
      </c>
      <c r="R301" s="63">
        <v>90</v>
      </c>
      <c r="S301" s="68">
        <f t="shared" si="22"/>
        <v>100</v>
      </c>
      <c r="T301" s="63" t="s">
        <v>31</v>
      </c>
      <c r="U301" s="65">
        <f t="shared" ref="U301:U363" si="24">0.7*I301+0.05*N301+0.25*(P301+0.9*S301)</f>
        <v>97.045881550750053</v>
      </c>
      <c r="V301" s="63">
        <v>2</v>
      </c>
      <c r="W301" s="12"/>
    </row>
    <row r="302" spans="1:23" ht="14.25" customHeight="1" x14ac:dyDescent="0.25">
      <c r="A302" s="63" t="s">
        <v>59</v>
      </c>
      <c r="B302" s="63"/>
      <c r="C302" s="63">
        <v>21716160</v>
      </c>
      <c r="D302" s="63" t="s">
        <v>839</v>
      </c>
      <c r="E302" s="63" t="s">
        <v>830</v>
      </c>
      <c r="F302" s="63" t="s">
        <v>26</v>
      </c>
      <c r="G302" s="63" t="s">
        <v>27</v>
      </c>
      <c r="H302" s="63">
        <v>90.15</v>
      </c>
      <c r="I302" s="63">
        <f>H302/90.15*100</f>
        <v>100</v>
      </c>
      <c r="J302" s="63" t="s">
        <v>34</v>
      </c>
      <c r="K302" s="69" t="s">
        <v>1005</v>
      </c>
      <c r="L302" s="63"/>
      <c r="M302" s="63">
        <f>4.603*2</f>
        <v>9.2059999999999995</v>
      </c>
      <c r="N302" s="65">
        <f t="shared" si="23"/>
        <v>31.744827586206899</v>
      </c>
      <c r="O302" s="64" t="s">
        <v>840</v>
      </c>
      <c r="P302" s="63">
        <v>3</v>
      </c>
      <c r="Q302" s="64" t="s">
        <v>350</v>
      </c>
      <c r="R302" s="63">
        <v>88</v>
      </c>
      <c r="S302" s="66">
        <f t="shared" si="22"/>
        <v>97.777777777777771</v>
      </c>
      <c r="T302" s="63" t="s">
        <v>40</v>
      </c>
      <c r="U302" s="65">
        <f t="shared" si="24"/>
        <v>94.337241379310342</v>
      </c>
      <c r="V302" s="63">
        <v>3</v>
      </c>
      <c r="W302" s="12"/>
    </row>
    <row r="303" spans="1:23" ht="14.25" customHeight="1" x14ac:dyDescent="0.25">
      <c r="A303" s="63" t="s">
        <v>59</v>
      </c>
      <c r="B303" s="63"/>
      <c r="C303" s="63">
        <v>21716164</v>
      </c>
      <c r="D303" s="63" t="s">
        <v>841</v>
      </c>
      <c r="E303" s="63" t="s">
        <v>830</v>
      </c>
      <c r="F303" s="63" t="s">
        <v>26</v>
      </c>
      <c r="G303" s="63" t="s">
        <v>27</v>
      </c>
      <c r="H303" s="63">
        <v>88.73</v>
      </c>
      <c r="I303" s="63">
        <f>H303/90.15*100</f>
        <v>98.424847476428184</v>
      </c>
      <c r="J303" s="63" t="s">
        <v>34</v>
      </c>
      <c r="K303" s="64"/>
      <c r="L303" s="63"/>
      <c r="M303" s="63">
        <v>0</v>
      </c>
      <c r="N303" s="65">
        <f t="shared" si="23"/>
        <v>0</v>
      </c>
      <c r="O303" s="64" t="s">
        <v>842</v>
      </c>
      <c r="P303" s="63">
        <v>9</v>
      </c>
      <c r="Q303" s="64" t="s">
        <v>843</v>
      </c>
      <c r="R303" s="63">
        <v>90</v>
      </c>
      <c r="S303" s="66">
        <f t="shared" si="22"/>
        <v>100</v>
      </c>
      <c r="T303" s="63" t="s">
        <v>270</v>
      </c>
      <c r="U303" s="65">
        <f t="shared" si="24"/>
        <v>93.647393233499727</v>
      </c>
      <c r="V303" s="63">
        <v>4</v>
      </c>
      <c r="W303" s="12"/>
    </row>
    <row r="304" spans="1:23" ht="14.25" customHeight="1" x14ac:dyDescent="0.25">
      <c r="A304" s="63" t="s">
        <v>32</v>
      </c>
      <c r="B304" s="63"/>
      <c r="C304" s="63">
        <v>21716178</v>
      </c>
      <c r="D304" s="63" t="s">
        <v>844</v>
      </c>
      <c r="E304" s="63" t="s">
        <v>830</v>
      </c>
      <c r="F304" s="63" t="s">
        <v>26</v>
      </c>
      <c r="G304" s="63" t="s">
        <v>27</v>
      </c>
      <c r="H304" s="63">
        <v>89.29</v>
      </c>
      <c r="I304" s="63">
        <f>H304/89.29*100</f>
        <v>100</v>
      </c>
      <c r="J304" s="63" t="s">
        <v>34</v>
      </c>
      <c r="K304" s="64"/>
      <c r="L304" s="63"/>
      <c r="M304" s="63">
        <v>0</v>
      </c>
      <c r="N304" s="65">
        <f t="shared" si="23"/>
        <v>0</v>
      </c>
      <c r="O304" s="64" t="s">
        <v>845</v>
      </c>
      <c r="P304" s="63">
        <v>8</v>
      </c>
      <c r="Q304" s="64" t="s">
        <v>846</v>
      </c>
      <c r="R304" s="63">
        <v>85</v>
      </c>
      <c r="S304" s="65">
        <f>R304/89*100</f>
        <v>95.50561797752809</v>
      </c>
      <c r="T304" s="63" t="s">
        <v>1020</v>
      </c>
      <c r="U304" s="65">
        <f t="shared" si="24"/>
        <v>93.488764044943821</v>
      </c>
      <c r="V304" s="63">
        <v>5</v>
      </c>
      <c r="W304" s="12"/>
    </row>
    <row r="305" spans="1:23" ht="14.25" customHeight="1" x14ac:dyDescent="0.25">
      <c r="A305" s="63" t="s">
        <v>178</v>
      </c>
      <c r="B305" s="63"/>
      <c r="C305" s="70">
        <v>21716202</v>
      </c>
      <c r="D305" s="63" t="s">
        <v>847</v>
      </c>
      <c r="E305" s="63" t="s">
        <v>830</v>
      </c>
      <c r="F305" s="63" t="s">
        <v>26</v>
      </c>
      <c r="G305" s="63" t="s">
        <v>27</v>
      </c>
      <c r="H305" s="63">
        <v>90.56</v>
      </c>
      <c r="I305" s="63">
        <f>H305/90.56*100</f>
        <v>100</v>
      </c>
      <c r="J305" s="63" t="s">
        <v>34</v>
      </c>
      <c r="K305" s="64"/>
      <c r="L305" s="63"/>
      <c r="M305" s="63">
        <v>0</v>
      </c>
      <c r="N305" s="65">
        <f t="shared" si="23"/>
        <v>0</v>
      </c>
      <c r="O305" s="64" t="s">
        <v>848</v>
      </c>
      <c r="P305" s="63">
        <v>5</v>
      </c>
      <c r="Q305" s="64" t="s">
        <v>849</v>
      </c>
      <c r="R305" s="63">
        <v>88</v>
      </c>
      <c r="S305" s="66">
        <f>R305/90*100</f>
        <v>97.777777777777771</v>
      </c>
      <c r="T305" s="63" t="s">
        <v>31</v>
      </c>
      <c r="U305" s="65">
        <f t="shared" si="24"/>
        <v>93.25</v>
      </c>
      <c r="V305" s="63">
        <v>6</v>
      </c>
      <c r="W305" s="12"/>
    </row>
    <row r="306" spans="1:23" ht="14.25" customHeight="1" x14ac:dyDescent="0.25">
      <c r="A306" s="63" t="s">
        <v>178</v>
      </c>
      <c r="B306" s="63"/>
      <c r="C306" s="70">
        <v>21716213</v>
      </c>
      <c r="D306" s="63" t="s">
        <v>850</v>
      </c>
      <c r="E306" s="63" t="s">
        <v>830</v>
      </c>
      <c r="F306" s="63" t="s">
        <v>26</v>
      </c>
      <c r="G306" s="63" t="s">
        <v>27</v>
      </c>
      <c r="H306" s="63">
        <v>89.35</v>
      </c>
      <c r="I306" s="63">
        <f>H306/90.56*100</f>
        <v>98.663869257950523</v>
      </c>
      <c r="J306" s="63" t="s">
        <v>34</v>
      </c>
      <c r="K306" s="64"/>
      <c r="L306" s="63"/>
      <c r="M306" s="63">
        <v>0</v>
      </c>
      <c r="N306" s="65">
        <f t="shared" si="23"/>
        <v>0</v>
      </c>
      <c r="O306" s="64" t="s">
        <v>851</v>
      </c>
      <c r="P306" s="63">
        <v>7</v>
      </c>
      <c r="Q306" s="64" t="s">
        <v>852</v>
      </c>
      <c r="R306" s="63">
        <v>89</v>
      </c>
      <c r="S306" s="66">
        <f>R306/90*100</f>
        <v>98.888888888888886</v>
      </c>
      <c r="T306" s="63" t="s">
        <v>31</v>
      </c>
      <c r="U306" s="65">
        <f t="shared" si="24"/>
        <v>93.064708480565358</v>
      </c>
      <c r="V306" s="63">
        <v>7</v>
      </c>
      <c r="W306" s="12"/>
    </row>
    <row r="307" spans="1:23" ht="14.25" customHeight="1" x14ac:dyDescent="0.25">
      <c r="A307" s="63" t="s">
        <v>73</v>
      </c>
      <c r="B307" s="63"/>
      <c r="C307" s="63">
        <v>21716152</v>
      </c>
      <c r="D307" s="63" t="s">
        <v>853</v>
      </c>
      <c r="E307" s="63" t="s">
        <v>830</v>
      </c>
      <c r="F307" s="63" t="s">
        <v>26</v>
      </c>
      <c r="G307" s="63" t="s">
        <v>27</v>
      </c>
      <c r="H307" s="63">
        <v>88.34</v>
      </c>
      <c r="I307" s="63">
        <f>H307/88.34*100</f>
        <v>100</v>
      </c>
      <c r="J307" s="63" t="s">
        <v>34</v>
      </c>
      <c r="K307" s="64"/>
      <c r="L307" s="63"/>
      <c r="M307" s="63">
        <v>0</v>
      </c>
      <c r="N307" s="65">
        <f t="shared" si="23"/>
        <v>0</v>
      </c>
      <c r="O307" s="64" t="s">
        <v>854</v>
      </c>
      <c r="P307" s="63">
        <v>6</v>
      </c>
      <c r="Q307" s="64" t="s">
        <v>855</v>
      </c>
      <c r="R307" s="63">
        <v>85</v>
      </c>
      <c r="S307" s="66">
        <f>(R307/90)*100</f>
        <v>94.444444444444443</v>
      </c>
      <c r="T307" s="63" t="s">
        <v>31</v>
      </c>
      <c r="U307" s="65">
        <f t="shared" si="24"/>
        <v>92.75</v>
      </c>
      <c r="V307" s="63">
        <v>8</v>
      </c>
      <c r="W307" s="12"/>
    </row>
    <row r="308" spans="1:23" ht="14.25" customHeight="1" x14ac:dyDescent="0.25">
      <c r="A308" s="63" t="s">
        <v>178</v>
      </c>
      <c r="B308" s="63"/>
      <c r="C308" s="70">
        <v>21716201</v>
      </c>
      <c r="D308" s="63" t="s">
        <v>856</v>
      </c>
      <c r="E308" s="63" t="s">
        <v>830</v>
      </c>
      <c r="F308" s="63" t="s">
        <v>26</v>
      </c>
      <c r="G308" s="63" t="s">
        <v>27</v>
      </c>
      <c r="H308" s="63">
        <v>88.18</v>
      </c>
      <c r="I308" s="63">
        <f>H308/90.56*100</f>
        <v>97.371908127208485</v>
      </c>
      <c r="J308" s="63" t="s">
        <v>34</v>
      </c>
      <c r="K308" s="64"/>
      <c r="L308" s="63"/>
      <c r="M308" s="63">
        <v>0</v>
      </c>
      <c r="N308" s="65">
        <f t="shared" si="23"/>
        <v>0</v>
      </c>
      <c r="O308" s="64" t="s">
        <v>857</v>
      </c>
      <c r="P308" s="63">
        <v>8</v>
      </c>
      <c r="Q308" s="64" t="s">
        <v>858</v>
      </c>
      <c r="R308" s="63">
        <v>90</v>
      </c>
      <c r="S308" s="66">
        <f>R308/90*100</f>
        <v>100</v>
      </c>
      <c r="T308" s="63" t="s">
        <v>31</v>
      </c>
      <c r="U308" s="65">
        <f t="shared" si="24"/>
        <v>92.660335689045937</v>
      </c>
      <c r="V308" s="63">
        <v>9</v>
      </c>
      <c r="W308" s="12"/>
    </row>
    <row r="309" spans="1:23" ht="14.25" customHeight="1" x14ac:dyDescent="0.25">
      <c r="A309" s="63" t="s">
        <v>178</v>
      </c>
      <c r="B309" s="63"/>
      <c r="C309" s="70">
        <v>21716207</v>
      </c>
      <c r="D309" s="63" t="s">
        <v>859</v>
      </c>
      <c r="E309" s="63" t="s">
        <v>830</v>
      </c>
      <c r="F309" s="63" t="s">
        <v>26</v>
      </c>
      <c r="G309" s="63" t="s">
        <v>27</v>
      </c>
      <c r="H309" s="63">
        <v>88.63</v>
      </c>
      <c r="I309" s="63">
        <f>H309/90.56*100</f>
        <v>97.868816254416956</v>
      </c>
      <c r="J309" s="63" t="s">
        <v>34</v>
      </c>
      <c r="K309" s="64"/>
      <c r="L309" s="63"/>
      <c r="M309" s="63">
        <v>0</v>
      </c>
      <c r="N309" s="65">
        <f t="shared" si="23"/>
        <v>0</v>
      </c>
      <c r="O309" s="64" t="s">
        <v>860</v>
      </c>
      <c r="P309" s="63">
        <v>6</v>
      </c>
      <c r="Q309" s="64" t="s">
        <v>861</v>
      </c>
      <c r="R309" s="63">
        <v>90</v>
      </c>
      <c r="S309" s="66">
        <f>R309/90*100</f>
        <v>100</v>
      </c>
      <c r="T309" s="63" t="s">
        <v>40</v>
      </c>
      <c r="U309" s="65">
        <f t="shared" si="24"/>
        <v>92.508171378091859</v>
      </c>
      <c r="V309" s="63">
        <v>10</v>
      </c>
      <c r="W309" s="12"/>
    </row>
    <row r="310" spans="1:23" ht="14.25" customHeight="1" x14ac:dyDescent="0.25">
      <c r="A310" s="63" t="s">
        <v>59</v>
      </c>
      <c r="B310" s="63"/>
      <c r="C310" s="63">
        <v>21716162</v>
      </c>
      <c r="D310" s="63" t="s">
        <v>862</v>
      </c>
      <c r="E310" s="63" t="s">
        <v>830</v>
      </c>
      <c r="F310" s="63" t="s">
        <v>26</v>
      </c>
      <c r="G310" s="63" t="s">
        <v>27</v>
      </c>
      <c r="H310" s="63">
        <v>88.22</v>
      </c>
      <c r="I310" s="63">
        <f>H310/90.15*100</f>
        <v>97.859123682750962</v>
      </c>
      <c r="J310" s="63" t="s">
        <v>34</v>
      </c>
      <c r="K310" s="64" t="s">
        <v>863</v>
      </c>
      <c r="L310" s="63"/>
      <c r="M310" s="63">
        <f>3.268*2</f>
        <v>6.5359999999999996</v>
      </c>
      <c r="N310" s="65">
        <f t="shared" si="23"/>
        <v>22.537931034482757</v>
      </c>
      <c r="O310" s="64" t="s">
        <v>864</v>
      </c>
      <c r="P310" s="63">
        <v>3</v>
      </c>
      <c r="Q310" s="64" t="s">
        <v>865</v>
      </c>
      <c r="R310" s="63">
        <v>88</v>
      </c>
      <c r="S310" s="66">
        <f>R310/90*100</f>
        <v>97.777777777777771</v>
      </c>
      <c r="T310" s="63" t="s">
        <v>40</v>
      </c>
      <c r="U310" s="65">
        <f t="shared" si="24"/>
        <v>92.378283129649816</v>
      </c>
      <c r="V310" s="63">
        <v>11</v>
      </c>
      <c r="W310" s="12"/>
    </row>
    <row r="311" spans="1:23" ht="14.25" customHeight="1" x14ac:dyDescent="0.25">
      <c r="A311" s="63" t="s">
        <v>178</v>
      </c>
      <c r="B311" s="63"/>
      <c r="C311" s="70">
        <v>21716198</v>
      </c>
      <c r="D311" s="63" t="s">
        <v>866</v>
      </c>
      <c r="E311" s="63" t="s">
        <v>830</v>
      </c>
      <c r="F311" s="63" t="s">
        <v>26</v>
      </c>
      <c r="G311" s="63" t="s">
        <v>27</v>
      </c>
      <c r="H311" s="63">
        <v>88</v>
      </c>
      <c r="I311" s="63">
        <f>H311/90.56*100</f>
        <v>97.173144876325097</v>
      </c>
      <c r="J311" s="63" t="s">
        <v>34</v>
      </c>
      <c r="K311" s="64"/>
      <c r="L311" s="63"/>
      <c r="M311" s="63">
        <v>0</v>
      </c>
      <c r="N311" s="65">
        <f t="shared" si="23"/>
        <v>0</v>
      </c>
      <c r="O311" s="64" t="s">
        <v>867</v>
      </c>
      <c r="P311" s="63">
        <v>8</v>
      </c>
      <c r="Q311" s="64" t="s">
        <v>868</v>
      </c>
      <c r="R311" s="63">
        <v>89</v>
      </c>
      <c r="S311" s="66">
        <f>R311/90*100</f>
        <v>98.888888888888886</v>
      </c>
      <c r="T311" s="63" t="s">
        <v>40</v>
      </c>
      <c r="U311" s="65">
        <f t="shared" si="24"/>
        <v>92.271201413427562</v>
      </c>
      <c r="V311" s="63">
        <v>12</v>
      </c>
      <c r="W311" s="12"/>
    </row>
    <row r="312" spans="1:23" ht="14.25" customHeight="1" x14ac:dyDescent="0.25">
      <c r="A312" s="63" t="s">
        <v>76</v>
      </c>
      <c r="B312" s="63"/>
      <c r="C312" s="63">
        <v>21716192</v>
      </c>
      <c r="D312" s="63" t="s">
        <v>869</v>
      </c>
      <c r="E312" s="63" t="s">
        <v>830</v>
      </c>
      <c r="F312" s="63" t="s">
        <v>26</v>
      </c>
      <c r="G312" s="63" t="s">
        <v>27</v>
      </c>
      <c r="H312" s="63">
        <v>87.6</v>
      </c>
      <c r="I312" s="63">
        <f>H312/87.89*100</f>
        <v>99.670042098077133</v>
      </c>
      <c r="J312" s="63" t="s">
        <v>34</v>
      </c>
      <c r="K312" s="64"/>
      <c r="L312" s="63"/>
      <c r="M312" s="63">
        <v>0</v>
      </c>
      <c r="N312" s="65">
        <f t="shared" si="23"/>
        <v>0</v>
      </c>
      <c r="O312" s="64" t="s">
        <v>870</v>
      </c>
      <c r="P312" s="63">
        <v>3</v>
      </c>
      <c r="Q312" s="64" t="s">
        <v>871</v>
      </c>
      <c r="R312" s="63">
        <v>87</v>
      </c>
      <c r="S312" s="68">
        <f>R312/90*100</f>
        <v>96.666666666666671</v>
      </c>
      <c r="T312" s="63" t="s">
        <v>31</v>
      </c>
      <c r="U312" s="65">
        <f t="shared" si="24"/>
        <v>92.269029468653983</v>
      </c>
      <c r="V312" s="63">
        <v>13</v>
      </c>
      <c r="W312" s="12"/>
    </row>
    <row r="313" spans="1:23" ht="14.25" customHeight="1" x14ac:dyDescent="0.25">
      <c r="A313" s="63" t="s">
        <v>73</v>
      </c>
      <c r="B313" s="63"/>
      <c r="C313" s="63">
        <v>21716148</v>
      </c>
      <c r="D313" s="63" t="s">
        <v>872</v>
      </c>
      <c r="E313" s="63" t="s">
        <v>830</v>
      </c>
      <c r="F313" s="63" t="s">
        <v>26</v>
      </c>
      <c r="G313" s="63" t="s">
        <v>27</v>
      </c>
      <c r="H313" s="63">
        <v>87.6</v>
      </c>
      <c r="I313" s="63">
        <f>H313/88.34*100</f>
        <v>99.162327371519126</v>
      </c>
      <c r="J313" s="63" t="s">
        <v>34</v>
      </c>
      <c r="K313" s="64"/>
      <c r="L313" s="63"/>
      <c r="M313" s="63">
        <v>0</v>
      </c>
      <c r="N313" s="65">
        <f t="shared" si="23"/>
        <v>0</v>
      </c>
      <c r="O313" s="64" t="s">
        <v>873</v>
      </c>
      <c r="P313" s="63">
        <v>6</v>
      </c>
      <c r="Q313" s="64" t="s">
        <v>874</v>
      </c>
      <c r="R313" s="63">
        <v>85</v>
      </c>
      <c r="S313" s="66">
        <f>(R313/90)*100</f>
        <v>94.444444444444443</v>
      </c>
      <c r="T313" s="63" t="s">
        <v>31</v>
      </c>
      <c r="U313" s="65">
        <f t="shared" si="24"/>
        <v>92.16362916006338</v>
      </c>
      <c r="V313" s="63">
        <v>14</v>
      </c>
      <c r="W313" s="12"/>
    </row>
    <row r="314" spans="1:23" ht="14.25" customHeight="1" x14ac:dyDescent="0.25">
      <c r="A314" s="63" t="s">
        <v>59</v>
      </c>
      <c r="B314" s="63"/>
      <c r="C314" s="63">
        <v>21716161</v>
      </c>
      <c r="D314" s="63" t="s">
        <v>875</v>
      </c>
      <c r="E314" s="63" t="s">
        <v>830</v>
      </c>
      <c r="F314" s="63" t="s">
        <v>26</v>
      </c>
      <c r="G314" s="63" t="s">
        <v>27</v>
      </c>
      <c r="H314" s="63">
        <v>89.35</v>
      </c>
      <c r="I314" s="63">
        <f>H314/90.15*100</f>
        <v>99.112590127565156</v>
      </c>
      <c r="J314" s="63" t="s">
        <v>34</v>
      </c>
      <c r="K314" s="64"/>
      <c r="L314" s="63"/>
      <c r="M314" s="63">
        <v>0</v>
      </c>
      <c r="N314" s="65">
        <f t="shared" si="23"/>
        <v>0</v>
      </c>
      <c r="O314" s="64" t="s">
        <v>876</v>
      </c>
      <c r="P314" s="63">
        <v>3</v>
      </c>
      <c r="Q314" s="64" t="s">
        <v>877</v>
      </c>
      <c r="R314" s="63">
        <v>88</v>
      </c>
      <c r="S314" s="66">
        <f>R314/90*100</f>
        <v>97.777777777777771</v>
      </c>
      <c r="T314" s="63" t="s">
        <v>40</v>
      </c>
      <c r="U314" s="65">
        <f t="shared" si="24"/>
        <v>92.128813089295605</v>
      </c>
      <c r="V314" s="63">
        <v>15</v>
      </c>
      <c r="W314" s="12"/>
    </row>
    <row r="315" spans="1:23" ht="14.25" customHeight="1" x14ac:dyDescent="0.25">
      <c r="A315" s="63" t="s">
        <v>73</v>
      </c>
      <c r="B315" s="63"/>
      <c r="C315" s="63">
        <v>21716151</v>
      </c>
      <c r="D315" s="63" t="s">
        <v>878</v>
      </c>
      <c r="E315" s="63" t="s">
        <v>830</v>
      </c>
      <c r="F315" s="63" t="s">
        <v>26</v>
      </c>
      <c r="G315" s="63" t="s">
        <v>27</v>
      </c>
      <c r="H315" s="63">
        <v>86.293999999999997</v>
      </c>
      <c r="I315" s="63">
        <f>H315/88.34*100</f>
        <v>97.68394838125424</v>
      </c>
      <c r="J315" s="63" t="s">
        <v>34</v>
      </c>
      <c r="K315" s="64"/>
      <c r="L315" s="63"/>
      <c r="M315" s="63">
        <v>0</v>
      </c>
      <c r="N315" s="65">
        <f t="shared" si="23"/>
        <v>0</v>
      </c>
      <c r="O315" s="64" t="s">
        <v>879</v>
      </c>
      <c r="P315" s="63">
        <v>7</v>
      </c>
      <c r="Q315" s="64" t="s">
        <v>880</v>
      </c>
      <c r="R315" s="63">
        <v>88</v>
      </c>
      <c r="S315" s="66">
        <f>(R315/90)*100</f>
        <v>97.777777777777771</v>
      </c>
      <c r="T315" s="63" t="s">
        <v>31</v>
      </c>
      <c r="U315" s="65">
        <f t="shared" si="24"/>
        <v>92.128763866877961</v>
      </c>
      <c r="V315" s="63">
        <v>16</v>
      </c>
      <c r="W315" s="12"/>
    </row>
    <row r="316" spans="1:23" ht="14.25" customHeight="1" x14ac:dyDescent="0.25">
      <c r="A316" s="63" t="s">
        <v>67</v>
      </c>
      <c r="B316" s="63"/>
      <c r="C316" s="67">
        <v>21716135</v>
      </c>
      <c r="D316" s="63" t="s">
        <v>881</v>
      </c>
      <c r="E316" s="63" t="s">
        <v>830</v>
      </c>
      <c r="F316" s="63" t="s">
        <v>26</v>
      </c>
      <c r="G316" s="63" t="s">
        <v>27</v>
      </c>
      <c r="H316" s="63">
        <v>85.76</v>
      </c>
      <c r="I316" s="63">
        <f>H316/88.5*100</f>
        <v>96.903954802259889</v>
      </c>
      <c r="J316" s="63" t="s">
        <v>34</v>
      </c>
      <c r="K316" s="64"/>
      <c r="L316" s="63"/>
      <c r="M316" s="63">
        <v>0</v>
      </c>
      <c r="N316" s="65">
        <f t="shared" si="23"/>
        <v>0</v>
      </c>
      <c r="O316" s="64" t="s">
        <v>172</v>
      </c>
      <c r="P316" s="63">
        <v>7</v>
      </c>
      <c r="Q316" s="64" t="s">
        <v>882</v>
      </c>
      <c r="R316" s="63">
        <v>90</v>
      </c>
      <c r="S316" s="68">
        <f>R316/90*100</f>
        <v>100</v>
      </c>
      <c r="T316" s="63" t="s">
        <v>161</v>
      </c>
      <c r="U316" s="65">
        <f t="shared" si="24"/>
        <v>92.082768361581913</v>
      </c>
      <c r="V316" s="63">
        <v>17</v>
      </c>
      <c r="W316" s="12"/>
    </row>
    <row r="317" spans="1:23" ht="14.25" customHeight="1" x14ac:dyDescent="0.25">
      <c r="A317" s="63" t="s">
        <v>67</v>
      </c>
      <c r="B317" s="63"/>
      <c r="C317" s="67">
        <v>21716129</v>
      </c>
      <c r="D317" s="63" t="s">
        <v>883</v>
      </c>
      <c r="E317" s="63" t="s">
        <v>830</v>
      </c>
      <c r="F317" s="63" t="s">
        <v>26</v>
      </c>
      <c r="G317" s="63" t="s">
        <v>27</v>
      </c>
      <c r="H317" s="63">
        <v>88.5</v>
      </c>
      <c r="I317" s="63">
        <f>H317/88.5*100</f>
        <v>100</v>
      </c>
      <c r="J317" s="63" t="s">
        <v>34</v>
      </c>
      <c r="K317" s="64"/>
      <c r="L317" s="63"/>
      <c r="M317" s="63">
        <v>0</v>
      </c>
      <c r="N317" s="65">
        <f t="shared" si="23"/>
        <v>0</v>
      </c>
      <c r="O317" s="64" t="s">
        <v>884</v>
      </c>
      <c r="P317" s="63">
        <v>3</v>
      </c>
      <c r="Q317" s="64" t="s">
        <v>885</v>
      </c>
      <c r="R317" s="63">
        <v>85</v>
      </c>
      <c r="S317" s="68">
        <f>R317/90*100</f>
        <v>94.444444444444443</v>
      </c>
      <c r="T317" s="63" t="s">
        <v>40</v>
      </c>
      <c r="U317" s="65">
        <f t="shared" si="24"/>
        <v>92</v>
      </c>
      <c r="V317" s="63">
        <v>18</v>
      </c>
      <c r="W317" s="12"/>
    </row>
    <row r="318" spans="1:23" ht="14.25" customHeight="1" x14ac:dyDescent="0.25">
      <c r="A318" s="63" t="s">
        <v>73</v>
      </c>
      <c r="B318" s="63"/>
      <c r="C318" s="63">
        <v>21716149</v>
      </c>
      <c r="D318" s="63" t="s">
        <v>886</v>
      </c>
      <c r="E318" s="63" t="s">
        <v>830</v>
      </c>
      <c r="F318" s="63" t="s">
        <v>26</v>
      </c>
      <c r="G318" s="63" t="s">
        <v>27</v>
      </c>
      <c r="H318" s="63">
        <v>86.73</v>
      </c>
      <c r="I318" s="63">
        <f>H318/88.34*100</f>
        <v>98.17749603803486</v>
      </c>
      <c r="J318" s="63" t="s">
        <v>34</v>
      </c>
      <c r="K318" s="64"/>
      <c r="L318" s="63"/>
      <c r="M318" s="63">
        <v>0</v>
      </c>
      <c r="N318" s="65">
        <f t="shared" si="23"/>
        <v>0</v>
      </c>
      <c r="O318" s="64" t="s">
        <v>167</v>
      </c>
      <c r="P318" s="63">
        <v>8</v>
      </c>
      <c r="Q318" s="64" t="s">
        <v>887</v>
      </c>
      <c r="R318" s="63">
        <v>85</v>
      </c>
      <c r="S318" s="66">
        <f>(R318/90)*100</f>
        <v>94.444444444444443</v>
      </c>
      <c r="T318" s="63" t="s">
        <v>270</v>
      </c>
      <c r="U318" s="65">
        <f t="shared" si="24"/>
        <v>91.974247226624399</v>
      </c>
      <c r="V318" s="63">
        <v>19</v>
      </c>
      <c r="W318" s="12"/>
    </row>
    <row r="319" spans="1:23" ht="14.25" customHeight="1" x14ac:dyDescent="0.25">
      <c r="A319" s="63" t="s">
        <v>32</v>
      </c>
      <c r="B319" s="63"/>
      <c r="C319" s="63">
        <v>21716173</v>
      </c>
      <c r="D319" s="63" t="s">
        <v>888</v>
      </c>
      <c r="E319" s="63" t="s">
        <v>830</v>
      </c>
      <c r="F319" s="63" t="s">
        <v>307</v>
      </c>
      <c r="G319" s="63" t="s">
        <v>27</v>
      </c>
      <c r="H319" s="63">
        <v>87.59</v>
      </c>
      <c r="I319" s="63">
        <f>H319/89.29*100</f>
        <v>98.096091387613399</v>
      </c>
      <c r="J319" s="63" t="s">
        <v>34</v>
      </c>
      <c r="K319" s="64"/>
      <c r="L319" s="63"/>
      <c r="M319" s="63">
        <v>0</v>
      </c>
      <c r="N319" s="65">
        <f t="shared" si="23"/>
        <v>0</v>
      </c>
      <c r="O319" s="64" t="s">
        <v>889</v>
      </c>
      <c r="P319" s="63">
        <v>6</v>
      </c>
      <c r="Q319" s="64" t="s">
        <v>890</v>
      </c>
      <c r="R319" s="63">
        <v>86</v>
      </c>
      <c r="S319" s="65">
        <f>R319/89*100</f>
        <v>96.629213483146074</v>
      </c>
      <c r="T319" s="63" t="s">
        <v>270</v>
      </c>
      <c r="U319" s="65">
        <f t="shared" si="24"/>
        <v>91.908837005037242</v>
      </c>
      <c r="V319" s="63">
        <v>20</v>
      </c>
      <c r="W319" s="12"/>
    </row>
    <row r="320" spans="1:23" ht="14.25" customHeight="1" x14ac:dyDescent="0.25">
      <c r="A320" s="63" t="s">
        <v>76</v>
      </c>
      <c r="B320" s="63"/>
      <c r="C320" s="63">
        <v>21716184</v>
      </c>
      <c r="D320" s="63" t="s">
        <v>891</v>
      </c>
      <c r="E320" s="63" t="s">
        <v>830</v>
      </c>
      <c r="F320" s="63" t="s">
        <v>26</v>
      </c>
      <c r="G320" s="63" t="s">
        <v>27</v>
      </c>
      <c r="H320" s="63">
        <v>87.89</v>
      </c>
      <c r="I320" s="63">
        <f>H320/87.89*100</f>
        <v>100</v>
      </c>
      <c r="J320" s="63" t="s">
        <v>34</v>
      </c>
      <c r="K320" s="64"/>
      <c r="L320" s="63"/>
      <c r="M320" s="63">
        <v>0</v>
      </c>
      <c r="N320" s="65">
        <f t="shared" si="23"/>
        <v>0</v>
      </c>
      <c r="O320" s="64"/>
      <c r="P320" s="63"/>
      <c r="Q320" s="64" t="s">
        <v>892</v>
      </c>
      <c r="R320" s="63">
        <v>87</v>
      </c>
      <c r="S320" s="68">
        <f>R320/90*100</f>
        <v>96.666666666666671</v>
      </c>
      <c r="T320" s="63" t="s">
        <v>40</v>
      </c>
      <c r="U320" s="65">
        <f t="shared" si="24"/>
        <v>91.75</v>
      </c>
      <c r="V320" s="63">
        <v>21</v>
      </c>
      <c r="W320" s="12"/>
    </row>
    <row r="321" spans="1:23" ht="14.25" customHeight="1" x14ac:dyDescent="0.25">
      <c r="A321" s="63" t="s">
        <v>178</v>
      </c>
      <c r="B321" s="63"/>
      <c r="C321" s="70">
        <v>21716216</v>
      </c>
      <c r="D321" s="63" t="s">
        <v>893</v>
      </c>
      <c r="E321" s="63" t="s">
        <v>830</v>
      </c>
      <c r="F321" s="63" t="s">
        <v>26</v>
      </c>
      <c r="G321" s="63" t="s">
        <v>27</v>
      </c>
      <c r="H321" s="63">
        <v>88.44</v>
      </c>
      <c r="I321" s="63">
        <f>H321/90.56*100</f>
        <v>97.659010600706708</v>
      </c>
      <c r="J321" s="63" t="s">
        <v>34</v>
      </c>
      <c r="K321" s="64"/>
      <c r="L321" s="63"/>
      <c r="M321" s="63">
        <v>0</v>
      </c>
      <c r="N321" s="65">
        <f t="shared" si="23"/>
        <v>0</v>
      </c>
      <c r="O321" s="64" t="s">
        <v>894</v>
      </c>
      <c r="P321" s="63">
        <v>5</v>
      </c>
      <c r="Q321" s="64" t="s">
        <v>895</v>
      </c>
      <c r="R321" s="63">
        <v>88</v>
      </c>
      <c r="S321" s="66">
        <f>R321/90*100</f>
        <v>97.777777777777771</v>
      </c>
      <c r="T321" s="63" t="s">
        <v>40</v>
      </c>
      <c r="U321" s="65">
        <f t="shared" si="24"/>
        <v>91.611307420494697</v>
      </c>
      <c r="V321" s="63">
        <v>22</v>
      </c>
      <c r="W321" s="12"/>
    </row>
    <row r="322" spans="1:23" ht="14.25" customHeight="1" x14ac:dyDescent="0.25">
      <c r="A322" s="63" t="s">
        <v>73</v>
      </c>
      <c r="B322" s="63"/>
      <c r="C322" s="63">
        <v>21716157</v>
      </c>
      <c r="D322" s="63" t="s">
        <v>896</v>
      </c>
      <c r="E322" s="63" t="s">
        <v>830</v>
      </c>
      <c r="F322" s="63" t="s">
        <v>26</v>
      </c>
      <c r="G322" s="63" t="s">
        <v>27</v>
      </c>
      <c r="H322" s="63">
        <v>85.823999999999998</v>
      </c>
      <c r="I322" s="63">
        <f>H322/88.34*100</f>
        <v>97.15191306316504</v>
      </c>
      <c r="J322" s="63" t="s">
        <v>34</v>
      </c>
      <c r="K322" s="64" t="s">
        <v>406</v>
      </c>
      <c r="L322" s="63"/>
      <c r="M322" s="63">
        <f>10*4.609*0.2</f>
        <v>9.2180000000000017</v>
      </c>
      <c r="N322" s="65">
        <f t="shared" si="23"/>
        <v>31.786206896551729</v>
      </c>
      <c r="O322" s="64" t="s">
        <v>897</v>
      </c>
      <c r="P322" s="63">
        <v>3</v>
      </c>
      <c r="Q322" s="64"/>
      <c r="R322" s="63">
        <v>85</v>
      </c>
      <c r="S322" s="66">
        <f>(R322/90)*100</f>
        <v>94.444444444444443</v>
      </c>
      <c r="T322" s="63"/>
      <c r="U322" s="65">
        <f t="shared" si="24"/>
        <v>91.595649489043097</v>
      </c>
      <c r="V322" s="63">
        <v>23</v>
      </c>
      <c r="W322" s="12"/>
    </row>
    <row r="323" spans="1:23" ht="14.25" customHeight="1" x14ac:dyDescent="0.25">
      <c r="A323" s="63" t="s">
        <v>67</v>
      </c>
      <c r="B323" s="63"/>
      <c r="C323" s="67">
        <v>21716136</v>
      </c>
      <c r="D323" s="63" t="s">
        <v>898</v>
      </c>
      <c r="E323" s="63" t="s">
        <v>830</v>
      </c>
      <c r="F323" s="63" t="s">
        <v>26</v>
      </c>
      <c r="G323" s="63" t="s">
        <v>27</v>
      </c>
      <c r="H323" s="63">
        <v>86.9</v>
      </c>
      <c r="I323" s="63">
        <f>H323/88.5*100</f>
        <v>98.192090395480236</v>
      </c>
      <c r="J323" s="63" t="s">
        <v>34</v>
      </c>
      <c r="K323" s="64"/>
      <c r="L323" s="63"/>
      <c r="M323" s="63">
        <v>0</v>
      </c>
      <c r="N323" s="65">
        <f t="shared" si="23"/>
        <v>0</v>
      </c>
      <c r="O323" s="64" t="s">
        <v>899</v>
      </c>
      <c r="P323" s="63"/>
      <c r="Q323" s="64" t="s">
        <v>900</v>
      </c>
      <c r="R323" s="63">
        <v>90</v>
      </c>
      <c r="S323" s="68">
        <f t="shared" ref="S323:S334" si="25">R323/90*100</f>
        <v>100</v>
      </c>
      <c r="T323" s="63" t="s">
        <v>40</v>
      </c>
      <c r="U323" s="65">
        <f t="shared" si="24"/>
        <v>91.234463276836166</v>
      </c>
      <c r="V323" s="63">
        <v>24</v>
      </c>
      <c r="W323" s="12"/>
    </row>
    <row r="324" spans="1:23" ht="14.25" customHeight="1" x14ac:dyDescent="0.25">
      <c r="A324" s="63" t="s">
        <v>67</v>
      </c>
      <c r="B324" s="63"/>
      <c r="C324" s="63">
        <v>21716133</v>
      </c>
      <c r="D324" s="63" t="s">
        <v>901</v>
      </c>
      <c r="E324" s="63" t="s">
        <v>830</v>
      </c>
      <c r="F324" s="63" t="s">
        <v>26</v>
      </c>
      <c r="G324" s="63" t="s">
        <v>27</v>
      </c>
      <c r="H324" s="63">
        <v>85.58</v>
      </c>
      <c r="I324" s="63">
        <f>H324/88.5*100</f>
        <v>96.700564971751419</v>
      </c>
      <c r="J324" s="63" t="s">
        <v>34</v>
      </c>
      <c r="K324" s="71"/>
      <c r="L324" s="63"/>
      <c r="M324" s="63">
        <v>0</v>
      </c>
      <c r="N324" s="65">
        <f t="shared" si="23"/>
        <v>0</v>
      </c>
      <c r="O324" s="64" t="s">
        <v>902</v>
      </c>
      <c r="P324" s="63">
        <v>3</v>
      </c>
      <c r="Q324" s="64"/>
      <c r="R324" s="63">
        <v>90</v>
      </c>
      <c r="S324" s="68">
        <f t="shared" si="25"/>
        <v>100</v>
      </c>
      <c r="T324" s="63" t="s">
        <v>40</v>
      </c>
      <c r="U324" s="65">
        <f t="shared" si="24"/>
        <v>90.940395480225988</v>
      </c>
      <c r="V324" s="63">
        <v>25</v>
      </c>
      <c r="W324" s="12"/>
    </row>
    <row r="325" spans="1:23" ht="14.25" customHeight="1" x14ac:dyDescent="0.25">
      <c r="A325" s="63" t="s">
        <v>76</v>
      </c>
      <c r="B325" s="63"/>
      <c r="C325" s="63">
        <v>21716185</v>
      </c>
      <c r="D325" s="63" t="s">
        <v>903</v>
      </c>
      <c r="E325" s="63" t="s">
        <v>830</v>
      </c>
      <c r="F325" s="63" t="s">
        <v>26</v>
      </c>
      <c r="G325" s="63" t="s">
        <v>27</v>
      </c>
      <c r="H325" s="63">
        <v>86.16</v>
      </c>
      <c r="I325" s="63">
        <f>H325/87.89*100</f>
        <v>98.031630447149837</v>
      </c>
      <c r="J325" s="63" t="s">
        <v>34</v>
      </c>
      <c r="K325" s="64" t="s">
        <v>202</v>
      </c>
      <c r="L325" s="63"/>
      <c r="M325" s="63">
        <v>0</v>
      </c>
      <c r="N325" s="65">
        <f t="shared" si="23"/>
        <v>0</v>
      </c>
      <c r="O325" s="64" t="s">
        <v>904</v>
      </c>
      <c r="P325" s="63">
        <v>5</v>
      </c>
      <c r="Q325" s="64" t="s">
        <v>905</v>
      </c>
      <c r="R325" s="63">
        <v>84</v>
      </c>
      <c r="S325" s="68">
        <f t="shared" si="25"/>
        <v>93.333333333333329</v>
      </c>
      <c r="T325" s="63" t="s">
        <v>40</v>
      </c>
      <c r="U325" s="65">
        <f t="shared" si="24"/>
        <v>90.872141313004875</v>
      </c>
      <c r="V325" s="63">
        <v>26</v>
      </c>
      <c r="W325" s="12"/>
    </row>
    <row r="326" spans="1:23" ht="14.25" customHeight="1" x14ac:dyDescent="0.25">
      <c r="A326" s="63" t="s">
        <v>76</v>
      </c>
      <c r="B326" s="63"/>
      <c r="C326" s="63">
        <v>21716186</v>
      </c>
      <c r="D326" s="63" t="s">
        <v>906</v>
      </c>
      <c r="E326" s="63" t="s">
        <v>830</v>
      </c>
      <c r="F326" s="63" t="s">
        <v>26</v>
      </c>
      <c r="G326" s="63" t="s">
        <v>27</v>
      </c>
      <c r="H326" s="63">
        <v>87.05</v>
      </c>
      <c r="I326" s="63">
        <f>H326/87.89*100</f>
        <v>99.044259870292407</v>
      </c>
      <c r="J326" s="63" t="s">
        <v>34</v>
      </c>
      <c r="K326" s="64"/>
      <c r="L326" s="63"/>
      <c r="M326" s="63">
        <v>0</v>
      </c>
      <c r="N326" s="65">
        <f t="shared" si="23"/>
        <v>0</v>
      </c>
      <c r="O326" s="64" t="s">
        <v>907</v>
      </c>
      <c r="P326" s="63">
        <v>3</v>
      </c>
      <c r="Q326" s="64"/>
      <c r="R326" s="63">
        <v>83</v>
      </c>
      <c r="S326" s="68">
        <f t="shared" si="25"/>
        <v>92.222222222222229</v>
      </c>
      <c r="T326" s="63" t="s">
        <v>40</v>
      </c>
      <c r="U326" s="65">
        <f t="shared" si="24"/>
        <v>90.830981909204681</v>
      </c>
      <c r="V326" s="63">
        <v>27</v>
      </c>
      <c r="W326" s="12"/>
    </row>
    <row r="327" spans="1:23" ht="14.25" customHeight="1" x14ac:dyDescent="0.25">
      <c r="A327" s="63" t="s">
        <v>178</v>
      </c>
      <c r="B327" s="63"/>
      <c r="C327" s="70">
        <v>21716212</v>
      </c>
      <c r="D327" s="63" t="s">
        <v>908</v>
      </c>
      <c r="E327" s="63" t="s">
        <v>830</v>
      </c>
      <c r="F327" s="63" t="s">
        <v>26</v>
      </c>
      <c r="G327" s="63" t="s">
        <v>27</v>
      </c>
      <c r="H327" s="63">
        <v>87.41</v>
      </c>
      <c r="I327" s="63">
        <f>H327/90.56*100</f>
        <v>96.521643109540634</v>
      </c>
      <c r="J327" s="63" t="s">
        <v>34</v>
      </c>
      <c r="K327" s="64"/>
      <c r="L327" s="63"/>
      <c r="M327" s="63">
        <v>0</v>
      </c>
      <c r="N327" s="65">
        <f t="shared" si="23"/>
        <v>0</v>
      </c>
      <c r="O327" s="64" t="s">
        <v>790</v>
      </c>
      <c r="P327" s="63">
        <v>6</v>
      </c>
      <c r="Q327" s="64" t="s">
        <v>909</v>
      </c>
      <c r="R327" s="63">
        <v>87</v>
      </c>
      <c r="S327" s="66">
        <f t="shared" si="25"/>
        <v>96.666666666666671</v>
      </c>
      <c r="T327" s="63" t="s">
        <v>40</v>
      </c>
      <c r="U327" s="65">
        <f t="shared" si="24"/>
        <v>90.815150176678443</v>
      </c>
      <c r="V327" s="63">
        <v>28</v>
      </c>
      <c r="W327" s="12"/>
    </row>
    <row r="328" spans="1:23" ht="14.25" customHeight="1" x14ac:dyDescent="0.25">
      <c r="A328" s="63" t="s">
        <v>178</v>
      </c>
      <c r="B328" s="63"/>
      <c r="C328" s="70">
        <v>21716215</v>
      </c>
      <c r="D328" s="63" t="s">
        <v>910</v>
      </c>
      <c r="E328" s="63" t="s">
        <v>830</v>
      </c>
      <c r="F328" s="63" t="s">
        <v>26</v>
      </c>
      <c r="G328" s="63" t="s">
        <v>27</v>
      </c>
      <c r="H328" s="63">
        <v>87.65</v>
      </c>
      <c r="I328" s="63">
        <f>H328/90.56*100</f>
        <v>96.786660777385151</v>
      </c>
      <c r="J328" s="63" t="s">
        <v>34</v>
      </c>
      <c r="K328" s="64"/>
      <c r="L328" s="63"/>
      <c r="M328" s="63">
        <v>0</v>
      </c>
      <c r="N328" s="65">
        <f t="shared" si="23"/>
        <v>0</v>
      </c>
      <c r="O328" s="64" t="s">
        <v>911</v>
      </c>
      <c r="P328" s="63">
        <v>7</v>
      </c>
      <c r="Q328" s="64"/>
      <c r="R328" s="63">
        <v>85</v>
      </c>
      <c r="S328" s="66">
        <f t="shared" si="25"/>
        <v>94.444444444444443</v>
      </c>
      <c r="T328" s="63" t="s">
        <v>270</v>
      </c>
      <c r="U328" s="65">
        <f t="shared" si="24"/>
        <v>90.7506625441696</v>
      </c>
      <c r="V328" s="63">
        <v>29</v>
      </c>
      <c r="W328" s="12"/>
    </row>
    <row r="329" spans="1:23" ht="14.25" customHeight="1" x14ac:dyDescent="0.25">
      <c r="A329" s="63" t="s">
        <v>76</v>
      </c>
      <c r="B329" s="63"/>
      <c r="C329" s="63">
        <v>21716188</v>
      </c>
      <c r="D329" s="63" t="s">
        <v>912</v>
      </c>
      <c r="E329" s="63" t="s">
        <v>830</v>
      </c>
      <c r="F329" s="63" t="s">
        <v>26</v>
      </c>
      <c r="G329" s="63" t="s">
        <v>27</v>
      </c>
      <c r="H329" s="63">
        <v>86.16</v>
      </c>
      <c r="I329" s="63">
        <f>H329/87.89*100</f>
        <v>98.031630447149837</v>
      </c>
      <c r="J329" s="63" t="s">
        <v>34</v>
      </c>
      <c r="K329" s="64"/>
      <c r="L329" s="63"/>
      <c r="M329" s="63">
        <v>0</v>
      </c>
      <c r="N329" s="65">
        <f t="shared" si="23"/>
        <v>0</v>
      </c>
      <c r="O329" s="64" t="s">
        <v>79</v>
      </c>
      <c r="P329" s="63">
        <v>3</v>
      </c>
      <c r="Q329" s="64" t="s">
        <v>913</v>
      </c>
      <c r="R329" s="63">
        <v>85</v>
      </c>
      <c r="S329" s="68">
        <f t="shared" si="25"/>
        <v>94.444444444444443</v>
      </c>
      <c r="T329" s="63"/>
      <c r="U329" s="65">
        <f t="shared" si="24"/>
        <v>90.622141313004875</v>
      </c>
      <c r="V329" s="63">
        <v>30</v>
      </c>
      <c r="W329" s="12"/>
    </row>
    <row r="330" spans="1:23" ht="14.25" customHeight="1" x14ac:dyDescent="0.25">
      <c r="A330" s="63" t="s">
        <v>76</v>
      </c>
      <c r="B330" s="63"/>
      <c r="C330" s="63">
        <v>21716191</v>
      </c>
      <c r="D330" s="63" t="s">
        <v>914</v>
      </c>
      <c r="E330" s="63" t="s">
        <v>830</v>
      </c>
      <c r="F330" s="63" t="s">
        <v>26</v>
      </c>
      <c r="G330" s="63" t="s">
        <v>27</v>
      </c>
      <c r="H330" s="63">
        <v>85.82</v>
      </c>
      <c r="I330" s="63">
        <f>H330/87.89*100</f>
        <v>97.644783251792006</v>
      </c>
      <c r="J330" s="63" t="s">
        <v>34</v>
      </c>
      <c r="K330" s="64"/>
      <c r="L330" s="63"/>
      <c r="M330" s="63">
        <v>0</v>
      </c>
      <c r="N330" s="65">
        <f t="shared" si="23"/>
        <v>0</v>
      </c>
      <c r="O330" s="64" t="s">
        <v>915</v>
      </c>
      <c r="P330" s="63">
        <v>3</v>
      </c>
      <c r="Q330" s="64" t="s">
        <v>916</v>
      </c>
      <c r="R330" s="63">
        <v>86</v>
      </c>
      <c r="S330" s="68">
        <f t="shared" si="25"/>
        <v>95.555555555555557</v>
      </c>
      <c r="T330" s="63"/>
      <c r="U330" s="65">
        <f t="shared" si="24"/>
        <v>90.601348276254399</v>
      </c>
      <c r="V330" s="63">
        <v>31</v>
      </c>
      <c r="W330" s="12"/>
    </row>
    <row r="331" spans="1:23" ht="14.25" customHeight="1" x14ac:dyDescent="0.25">
      <c r="A331" s="63" t="s">
        <v>67</v>
      </c>
      <c r="B331" s="63"/>
      <c r="C331" s="63">
        <v>21716123</v>
      </c>
      <c r="D331" s="63" t="s">
        <v>917</v>
      </c>
      <c r="E331" s="63" t="s">
        <v>830</v>
      </c>
      <c r="F331" s="63" t="s">
        <v>26</v>
      </c>
      <c r="G331" s="63" t="s">
        <v>27</v>
      </c>
      <c r="H331" s="63">
        <v>83.44</v>
      </c>
      <c r="I331" s="63">
        <f>H331/88.5*100</f>
        <v>94.282485875706215</v>
      </c>
      <c r="J331" s="63" t="s">
        <v>34</v>
      </c>
      <c r="K331" s="64"/>
      <c r="L331" s="63"/>
      <c r="M331" s="63">
        <v>0</v>
      </c>
      <c r="N331" s="65">
        <f t="shared" si="23"/>
        <v>0</v>
      </c>
      <c r="O331" s="64" t="s">
        <v>918</v>
      </c>
      <c r="P331" s="63">
        <v>8</v>
      </c>
      <c r="Q331" s="64" t="s">
        <v>919</v>
      </c>
      <c r="R331" s="63">
        <v>90</v>
      </c>
      <c r="S331" s="68">
        <f t="shared" si="25"/>
        <v>100</v>
      </c>
      <c r="T331" s="63" t="s">
        <v>1009</v>
      </c>
      <c r="U331" s="65">
        <f t="shared" si="24"/>
        <v>90.49774011299435</v>
      </c>
      <c r="V331" s="63">
        <v>32</v>
      </c>
      <c r="W331" s="12"/>
    </row>
    <row r="332" spans="1:23" ht="14.25" customHeight="1" x14ac:dyDescent="0.25">
      <c r="A332" s="63" t="s">
        <v>178</v>
      </c>
      <c r="B332" s="63"/>
      <c r="C332" s="70">
        <v>21716200</v>
      </c>
      <c r="D332" s="63" t="s">
        <v>920</v>
      </c>
      <c r="E332" s="63" t="s">
        <v>830</v>
      </c>
      <c r="F332" s="63" t="s">
        <v>26</v>
      </c>
      <c r="G332" s="63" t="s">
        <v>27</v>
      </c>
      <c r="H332" s="63">
        <v>88.13</v>
      </c>
      <c r="I332" s="63">
        <f>H332/90.56*100</f>
        <v>97.316696113074201</v>
      </c>
      <c r="J332" s="63" t="s">
        <v>34</v>
      </c>
      <c r="K332" s="64"/>
      <c r="L332" s="63"/>
      <c r="M332" s="63">
        <v>0</v>
      </c>
      <c r="N332" s="65">
        <f t="shared" si="23"/>
        <v>0</v>
      </c>
      <c r="O332" s="64" t="s">
        <v>921</v>
      </c>
      <c r="P332" s="63">
        <v>0</v>
      </c>
      <c r="Q332" s="64" t="s">
        <v>922</v>
      </c>
      <c r="R332" s="63">
        <v>88</v>
      </c>
      <c r="S332" s="66">
        <f t="shared" si="25"/>
        <v>97.777777777777771</v>
      </c>
      <c r="T332" s="63"/>
      <c r="U332" s="65">
        <f t="shared" si="24"/>
        <v>90.121687279151942</v>
      </c>
      <c r="V332" s="63">
        <v>33</v>
      </c>
      <c r="W332" s="12"/>
    </row>
    <row r="333" spans="1:23" ht="14.25" customHeight="1" x14ac:dyDescent="0.25">
      <c r="A333" s="63" t="s">
        <v>76</v>
      </c>
      <c r="B333" s="63"/>
      <c r="C333" s="63">
        <v>21716187</v>
      </c>
      <c r="D333" s="63" t="s">
        <v>923</v>
      </c>
      <c r="E333" s="63" t="s">
        <v>830</v>
      </c>
      <c r="F333" s="63" t="s">
        <v>26</v>
      </c>
      <c r="G333" s="63" t="s">
        <v>27</v>
      </c>
      <c r="H333" s="63">
        <v>84.26</v>
      </c>
      <c r="I333" s="63">
        <f>H333/87.89*100</f>
        <v>95.869837296620787</v>
      </c>
      <c r="J333" s="63" t="s">
        <v>34</v>
      </c>
      <c r="K333" s="64"/>
      <c r="L333" s="63"/>
      <c r="M333" s="63">
        <v>0</v>
      </c>
      <c r="N333" s="65">
        <f t="shared" si="23"/>
        <v>0</v>
      </c>
      <c r="O333" s="64" t="s">
        <v>924</v>
      </c>
      <c r="P333" s="63">
        <v>8</v>
      </c>
      <c r="Q333" s="64"/>
      <c r="R333" s="63">
        <v>84</v>
      </c>
      <c r="S333" s="68">
        <f t="shared" si="25"/>
        <v>93.333333333333329</v>
      </c>
      <c r="T333" s="63" t="s">
        <v>270</v>
      </c>
      <c r="U333" s="65">
        <f t="shared" si="24"/>
        <v>90.108886107634547</v>
      </c>
      <c r="V333" s="63">
        <v>34</v>
      </c>
      <c r="W333" s="12"/>
    </row>
    <row r="334" spans="1:23" ht="14.25" customHeight="1" x14ac:dyDescent="0.25">
      <c r="A334" s="63" t="s">
        <v>81</v>
      </c>
      <c r="B334" s="63"/>
      <c r="C334" s="63">
        <v>21716140</v>
      </c>
      <c r="D334" s="63" t="s">
        <v>925</v>
      </c>
      <c r="E334" s="63" t="s">
        <v>830</v>
      </c>
      <c r="F334" s="63" t="s">
        <v>26</v>
      </c>
      <c r="G334" s="63" t="s">
        <v>27</v>
      </c>
      <c r="H334" s="63">
        <v>88.57</v>
      </c>
      <c r="I334" s="63">
        <f>H334/88.57*100</f>
        <v>100</v>
      </c>
      <c r="J334" s="63" t="s">
        <v>34</v>
      </c>
      <c r="K334" s="71"/>
      <c r="L334" s="63"/>
      <c r="M334" s="63">
        <v>0</v>
      </c>
      <c r="N334" s="65">
        <f t="shared" si="23"/>
        <v>0</v>
      </c>
      <c r="O334" s="64"/>
      <c r="P334" s="63"/>
      <c r="Q334" s="64" t="s">
        <v>926</v>
      </c>
      <c r="R334" s="70" t="s">
        <v>927</v>
      </c>
      <c r="S334" s="68">
        <f t="shared" si="25"/>
        <v>88.888888888888886</v>
      </c>
      <c r="T334" s="63" t="s">
        <v>31</v>
      </c>
      <c r="U334" s="65">
        <f t="shared" si="24"/>
        <v>90</v>
      </c>
      <c r="V334" s="63">
        <v>35</v>
      </c>
      <c r="W334" s="12"/>
    </row>
    <row r="335" spans="1:23" ht="14.25" customHeight="1" x14ac:dyDescent="0.25">
      <c r="A335" s="63" t="s">
        <v>73</v>
      </c>
      <c r="B335" s="63"/>
      <c r="C335" s="63">
        <v>21716158</v>
      </c>
      <c r="D335" s="63" t="s">
        <v>928</v>
      </c>
      <c r="E335" s="63" t="s">
        <v>830</v>
      </c>
      <c r="F335" s="63" t="s">
        <v>26</v>
      </c>
      <c r="G335" s="63" t="s">
        <v>27</v>
      </c>
      <c r="H335" s="63">
        <v>85.47</v>
      </c>
      <c r="I335" s="63">
        <f>H335/88.34*100</f>
        <v>96.751188589540405</v>
      </c>
      <c r="J335" s="63" t="s">
        <v>34</v>
      </c>
      <c r="K335" s="64"/>
      <c r="L335" s="63"/>
      <c r="M335" s="63">
        <v>0</v>
      </c>
      <c r="N335" s="65">
        <f t="shared" si="23"/>
        <v>0</v>
      </c>
      <c r="O335" s="64" t="s">
        <v>929</v>
      </c>
      <c r="P335" s="63">
        <v>3</v>
      </c>
      <c r="Q335" s="64"/>
      <c r="R335" s="63">
        <v>85</v>
      </c>
      <c r="S335" s="66">
        <f>(R335/90)*100</f>
        <v>94.444444444444443</v>
      </c>
      <c r="T335" s="63"/>
      <c r="U335" s="65">
        <f t="shared" si="24"/>
        <v>89.725832012678282</v>
      </c>
      <c r="V335" s="63">
        <v>36</v>
      </c>
      <c r="W335" s="12"/>
    </row>
    <row r="336" spans="1:23" ht="14.25" customHeight="1" x14ac:dyDescent="0.25">
      <c r="A336" s="63" t="s">
        <v>178</v>
      </c>
      <c r="B336" s="63"/>
      <c r="C336" s="70" t="s">
        <v>930</v>
      </c>
      <c r="D336" s="63" t="s">
        <v>931</v>
      </c>
      <c r="E336" s="63" t="s">
        <v>830</v>
      </c>
      <c r="F336" s="63" t="s">
        <v>26</v>
      </c>
      <c r="G336" s="63" t="s">
        <v>27</v>
      </c>
      <c r="H336" s="63">
        <v>85.71</v>
      </c>
      <c r="I336" s="63">
        <f>H336/90.56*100</f>
        <v>94.644434628975262</v>
      </c>
      <c r="J336" s="63" t="s">
        <v>34</v>
      </c>
      <c r="K336" s="64"/>
      <c r="L336" s="63"/>
      <c r="M336" s="63">
        <v>0</v>
      </c>
      <c r="N336" s="65">
        <f t="shared" si="23"/>
        <v>0</v>
      </c>
      <c r="O336" s="64" t="s">
        <v>932</v>
      </c>
      <c r="P336" s="63">
        <v>8</v>
      </c>
      <c r="Q336" s="64"/>
      <c r="R336" s="63">
        <v>85</v>
      </c>
      <c r="S336" s="66">
        <f>R336/90*100</f>
        <v>94.444444444444443</v>
      </c>
      <c r="T336" s="63" t="s">
        <v>270</v>
      </c>
      <c r="U336" s="65">
        <f t="shared" si="24"/>
        <v>89.501104240282686</v>
      </c>
      <c r="V336" s="63">
        <v>37</v>
      </c>
      <c r="W336" s="12"/>
    </row>
    <row r="337" spans="1:23" ht="14.25" customHeight="1" x14ac:dyDescent="0.25">
      <c r="A337" s="63" t="s">
        <v>178</v>
      </c>
      <c r="B337" s="63"/>
      <c r="C337" s="70">
        <v>21716211</v>
      </c>
      <c r="D337" s="63" t="s">
        <v>933</v>
      </c>
      <c r="E337" s="63" t="s">
        <v>830</v>
      </c>
      <c r="F337" s="63" t="s">
        <v>26</v>
      </c>
      <c r="G337" s="63" t="s">
        <v>27</v>
      </c>
      <c r="H337" s="63">
        <v>85.47</v>
      </c>
      <c r="I337" s="63">
        <f>H337/90.56*100</f>
        <v>94.37941696113073</v>
      </c>
      <c r="J337" s="63" t="s">
        <v>34</v>
      </c>
      <c r="K337" s="64"/>
      <c r="L337" s="63"/>
      <c r="M337" s="63">
        <v>0</v>
      </c>
      <c r="N337" s="65">
        <f t="shared" si="23"/>
        <v>0</v>
      </c>
      <c r="O337" s="64" t="s">
        <v>934</v>
      </c>
      <c r="P337" s="63">
        <v>8</v>
      </c>
      <c r="Q337" s="64"/>
      <c r="R337" s="63">
        <v>85</v>
      </c>
      <c r="S337" s="66">
        <f>R337/90*100</f>
        <v>94.444444444444443</v>
      </c>
      <c r="T337" s="63" t="s">
        <v>1008</v>
      </c>
      <c r="U337" s="65">
        <f t="shared" si="24"/>
        <v>89.315591872791501</v>
      </c>
      <c r="V337" s="63">
        <v>38</v>
      </c>
      <c r="W337" s="20"/>
    </row>
    <row r="338" spans="1:23" ht="14.25" customHeight="1" x14ac:dyDescent="0.25">
      <c r="A338" s="63" t="s">
        <v>32</v>
      </c>
      <c r="B338" s="63"/>
      <c r="C338" s="63">
        <v>21716181</v>
      </c>
      <c r="D338" s="63" t="s">
        <v>935</v>
      </c>
      <c r="E338" s="63" t="s">
        <v>830</v>
      </c>
      <c r="F338" s="63" t="s">
        <v>26</v>
      </c>
      <c r="G338" s="63" t="s">
        <v>27</v>
      </c>
      <c r="H338" s="63">
        <v>84</v>
      </c>
      <c r="I338" s="63">
        <f>H338/89.29*100</f>
        <v>94.075484376749912</v>
      </c>
      <c r="J338" s="63" t="s">
        <v>34</v>
      </c>
      <c r="K338" s="64"/>
      <c r="L338" s="63"/>
      <c r="M338" s="63">
        <v>0</v>
      </c>
      <c r="N338" s="65">
        <f t="shared" si="23"/>
        <v>0</v>
      </c>
      <c r="O338" s="64" t="s">
        <v>936</v>
      </c>
      <c r="P338" s="63">
        <v>7</v>
      </c>
      <c r="Q338" s="64" t="s">
        <v>937</v>
      </c>
      <c r="R338" s="63">
        <v>85</v>
      </c>
      <c r="S338" s="65">
        <f>R338/89*100</f>
        <v>95.50561797752809</v>
      </c>
      <c r="T338" s="63" t="s">
        <v>1009</v>
      </c>
      <c r="U338" s="65">
        <f t="shared" si="24"/>
        <v>89.09160310866875</v>
      </c>
      <c r="V338" s="63">
        <v>39</v>
      </c>
      <c r="W338" s="12"/>
    </row>
    <row r="339" spans="1:23" ht="14.25" customHeight="1" x14ac:dyDescent="0.25">
      <c r="A339" s="63" t="s">
        <v>76</v>
      </c>
      <c r="B339" s="63"/>
      <c r="C339" s="63">
        <v>21716189</v>
      </c>
      <c r="D339" s="63" t="s">
        <v>938</v>
      </c>
      <c r="E339" s="63" t="s">
        <v>830</v>
      </c>
      <c r="F339" s="63" t="s">
        <v>26</v>
      </c>
      <c r="G339" s="63" t="s">
        <v>27</v>
      </c>
      <c r="H339" s="63">
        <v>84.11</v>
      </c>
      <c r="I339" s="63">
        <f>H339/87.89*100</f>
        <v>95.69916941631584</v>
      </c>
      <c r="J339" s="63" t="s">
        <v>34</v>
      </c>
      <c r="K339" s="64"/>
      <c r="L339" s="63"/>
      <c r="M339" s="63">
        <v>0</v>
      </c>
      <c r="N339" s="65">
        <f t="shared" si="23"/>
        <v>0</v>
      </c>
      <c r="O339" s="64" t="s">
        <v>558</v>
      </c>
      <c r="P339" s="63">
        <v>3</v>
      </c>
      <c r="Q339" s="64" t="s">
        <v>939</v>
      </c>
      <c r="R339" s="63">
        <v>85</v>
      </c>
      <c r="S339" s="68">
        <f>R339/90*100</f>
        <v>94.444444444444443</v>
      </c>
      <c r="T339" s="63"/>
      <c r="U339" s="65">
        <f t="shared" si="24"/>
        <v>88.989418591421085</v>
      </c>
      <c r="V339" s="63">
        <v>40</v>
      </c>
      <c r="W339" s="12"/>
    </row>
    <row r="340" spans="1:23" ht="14.25" customHeight="1" x14ac:dyDescent="0.25">
      <c r="A340" s="63" t="s">
        <v>59</v>
      </c>
      <c r="B340" s="63"/>
      <c r="C340" s="63">
        <v>21716168</v>
      </c>
      <c r="D340" s="63" t="s">
        <v>940</v>
      </c>
      <c r="E340" s="63" t="s">
        <v>830</v>
      </c>
      <c r="F340" s="63" t="s">
        <v>26</v>
      </c>
      <c r="G340" s="63" t="s">
        <v>27</v>
      </c>
      <c r="H340" s="63">
        <v>85.9</v>
      </c>
      <c r="I340" s="63">
        <f>H340/90.15*100</f>
        <v>95.285635052689969</v>
      </c>
      <c r="J340" s="63" t="s">
        <v>34</v>
      </c>
      <c r="K340" s="64"/>
      <c r="L340" s="63"/>
      <c r="M340" s="63">
        <v>0</v>
      </c>
      <c r="N340" s="65">
        <f t="shared" si="23"/>
        <v>0</v>
      </c>
      <c r="O340" s="64" t="s">
        <v>941</v>
      </c>
      <c r="P340" s="63">
        <v>0</v>
      </c>
      <c r="Q340" s="64" t="s">
        <v>942</v>
      </c>
      <c r="R340" s="63">
        <v>89</v>
      </c>
      <c r="S340" s="66">
        <f>R340/90*100</f>
        <v>98.888888888888886</v>
      </c>
      <c r="T340" s="63"/>
      <c r="U340" s="65">
        <f t="shared" si="24"/>
        <v>88.949944536882981</v>
      </c>
      <c r="V340" s="63">
        <v>41</v>
      </c>
      <c r="W340" s="12"/>
    </row>
    <row r="341" spans="1:23" ht="14.25" customHeight="1" x14ac:dyDescent="0.25">
      <c r="A341" s="63" t="s">
        <v>178</v>
      </c>
      <c r="B341" s="63"/>
      <c r="C341" s="70">
        <v>21716210</v>
      </c>
      <c r="D341" s="63" t="s">
        <v>943</v>
      </c>
      <c r="E341" s="63" t="s">
        <v>830</v>
      </c>
      <c r="F341" s="63" t="s">
        <v>26</v>
      </c>
      <c r="G341" s="63" t="s">
        <v>27</v>
      </c>
      <c r="H341" s="63">
        <v>85.47</v>
      </c>
      <c r="I341" s="63">
        <f>H341/90.56*100</f>
        <v>94.37941696113073</v>
      </c>
      <c r="J341" s="63" t="s">
        <v>34</v>
      </c>
      <c r="K341" s="64"/>
      <c r="L341" s="63"/>
      <c r="M341" s="63">
        <v>0</v>
      </c>
      <c r="N341" s="65">
        <f t="shared" si="23"/>
        <v>0</v>
      </c>
      <c r="O341" s="64" t="s">
        <v>944</v>
      </c>
      <c r="P341" s="63">
        <v>5</v>
      </c>
      <c r="Q341" s="64"/>
      <c r="R341" s="63">
        <v>86</v>
      </c>
      <c r="S341" s="66">
        <f>R341/90*100</f>
        <v>95.555555555555557</v>
      </c>
      <c r="T341" s="63"/>
      <c r="U341" s="65">
        <f t="shared" si="24"/>
        <v>88.815591872791501</v>
      </c>
      <c r="V341" s="63">
        <v>42</v>
      </c>
      <c r="W341" s="20"/>
    </row>
    <row r="342" spans="1:23" ht="14.25" customHeight="1" x14ac:dyDescent="0.25">
      <c r="A342" s="63" t="s">
        <v>81</v>
      </c>
      <c r="B342" s="63"/>
      <c r="C342" s="63">
        <v>21716144</v>
      </c>
      <c r="D342" s="63" t="s">
        <v>1010</v>
      </c>
      <c r="E342" s="63" t="s">
        <v>830</v>
      </c>
      <c r="F342" s="63" t="s">
        <v>26</v>
      </c>
      <c r="G342" s="63" t="s">
        <v>27</v>
      </c>
      <c r="H342" s="63">
        <v>85.76</v>
      </c>
      <c r="I342" s="63">
        <f>H342/88.57*100</f>
        <v>96.827368183357805</v>
      </c>
      <c r="J342" s="63" t="s">
        <v>34</v>
      </c>
      <c r="K342" s="64"/>
      <c r="L342" s="63"/>
      <c r="M342" s="63">
        <v>0</v>
      </c>
      <c r="N342" s="65">
        <f t="shared" si="23"/>
        <v>0</v>
      </c>
      <c r="O342" s="64" t="s">
        <v>945</v>
      </c>
      <c r="P342" s="63">
        <v>2</v>
      </c>
      <c r="Q342" s="64"/>
      <c r="R342" s="70" t="s">
        <v>946</v>
      </c>
      <c r="S342" s="68">
        <f>R342/90*100</f>
        <v>91.111111111111114</v>
      </c>
      <c r="T342" s="63" t="s">
        <v>40</v>
      </c>
      <c r="U342" s="65">
        <f t="shared" si="24"/>
        <v>88.779157728350455</v>
      </c>
      <c r="V342" s="63">
        <v>43</v>
      </c>
      <c r="W342" s="12"/>
    </row>
    <row r="343" spans="1:23" ht="14.25" customHeight="1" x14ac:dyDescent="0.25">
      <c r="A343" s="63" t="s">
        <v>59</v>
      </c>
      <c r="B343" s="63"/>
      <c r="C343" s="63">
        <v>21716169</v>
      </c>
      <c r="D343" s="63" t="s">
        <v>947</v>
      </c>
      <c r="E343" s="63" t="s">
        <v>830</v>
      </c>
      <c r="F343" s="63" t="s">
        <v>26</v>
      </c>
      <c r="G343" s="63" t="s">
        <v>27</v>
      </c>
      <c r="H343" s="63">
        <v>85.18</v>
      </c>
      <c r="I343" s="63">
        <f>H343/90.15*100</f>
        <v>94.486966167498622</v>
      </c>
      <c r="J343" s="63" t="s">
        <v>34</v>
      </c>
      <c r="K343" s="64"/>
      <c r="L343" s="63"/>
      <c r="M343" s="63">
        <v>0</v>
      </c>
      <c r="N343" s="65">
        <f t="shared" si="23"/>
        <v>0</v>
      </c>
      <c r="O343" s="64" t="s">
        <v>948</v>
      </c>
      <c r="P343" s="63">
        <v>0</v>
      </c>
      <c r="Q343" s="64" t="s">
        <v>949</v>
      </c>
      <c r="R343" s="63">
        <v>90</v>
      </c>
      <c r="S343" s="66">
        <f>R343/90*100</f>
        <v>100</v>
      </c>
      <c r="T343" s="63" t="s">
        <v>1007</v>
      </c>
      <c r="U343" s="65">
        <f t="shared" si="24"/>
        <v>88.640876317249038</v>
      </c>
      <c r="V343" s="63">
        <v>44</v>
      </c>
      <c r="W343" s="20"/>
    </row>
    <row r="344" spans="1:23" ht="14.25" customHeight="1" x14ac:dyDescent="0.25">
      <c r="A344" s="63" t="s">
        <v>32</v>
      </c>
      <c r="B344" s="63"/>
      <c r="C344" s="63">
        <v>21716179</v>
      </c>
      <c r="D344" s="63" t="s">
        <v>950</v>
      </c>
      <c r="E344" s="63" t="s">
        <v>830</v>
      </c>
      <c r="F344" s="63" t="s">
        <v>26</v>
      </c>
      <c r="G344" s="63" t="s">
        <v>27</v>
      </c>
      <c r="H344" s="63">
        <v>84.64</v>
      </c>
      <c r="I344" s="63">
        <f>H344/89.29*100</f>
        <v>94.792249972001343</v>
      </c>
      <c r="J344" s="63" t="s">
        <v>34</v>
      </c>
      <c r="K344" s="64"/>
      <c r="L344" s="63"/>
      <c r="M344" s="63">
        <v>0</v>
      </c>
      <c r="N344" s="65">
        <f t="shared" si="23"/>
        <v>0</v>
      </c>
      <c r="O344" s="64" t="s">
        <v>951</v>
      </c>
      <c r="P344" s="63">
        <v>3</v>
      </c>
      <c r="Q344" s="64" t="s">
        <v>952</v>
      </c>
      <c r="R344" s="63">
        <v>85</v>
      </c>
      <c r="S344" s="65">
        <f>R344/89*100</f>
        <v>95.50561797752809</v>
      </c>
      <c r="T344" s="63"/>
      <c r="U344" s="65">
        <f t="shared" si="24"/>
        <v>88.593339025344761</v>
      </c>
      <c r="V344" s="63">
        <v>45</v>
      </c>
      <c r="W344" s="12"/>
    </row>
    <row r="345" spans="1:23" ht="14.25" customHeight="1" x14ac:dyDescent="0.25">
      <c r="A345" s="63" t="s">
        <v>178</v>
      </c>
      <c r="B345" s="63"/>
      <c r="C345" s="70">
        <v>21716199</v>
      </c>
      <c r="D345" s="63" t="s">
        <v>953</v>
      </c>
      <c r="E345" s="63" t="s">
        <v>830</v>
      </c>
      <c r="F345" s="63" t="s">
        <v>26</v>
      </c>
      <c r="G345" s="63" t="s">
        <v>27</v>
      </c>
      <c r="H345" s="63">
        <v>88.71</v>
      </c>
      <c r="I345" s="63">
        <f>H345/90.56*100</f>
        <v>97.95715547703179</v>
      </c>
      <c r="J345" s="63" t="s">
        <v>34</v>
      </c>
      <c r="K345" s="64"/>
      <c r="L345" s="63"/>
      <c r="M345" s="63">
        <v>0</v>
      </c>
      <c r="N345" s="65">
        <f t="shared" si="23"/>
        <v>0</v>
      </c>
      <c r="O345" s="64"/>
      <c r="P345" s="63">
        <v>0</v>
      </c>
      <c r="Q345" s="64"/>
      <c r="R345" s="63">
        <v>80</v>
      </c>
      <c r="S345" s="66">
        <f>R345/90*100</f>
        <v>88.888888888888886</v>
      </c>
      <c r="T345" s="63"/>
      <c r="U345" s="65">
        <f t="shared" si="24"/>
        <v>88.570008833922245</v>
      </c>
      <c r="V345" s="63">
        <v>46</v>
      </c>
      <c r="W345" s="12"/>
    </row>
    <row r="346" spans="1:23" ht="14.25" customHeight="1" x14ac:dyDescent="0.25">
      <c r="A346" s="63" t="s">
        <v>32</v>
      </c>
      <c r="B346" s="63"/>
      <c r="C346" s="63">
        <v>21716175</v>
      </c>
      <c r="D346" s="63" t="s">
        <v>954</v>
      </c>
      <c r="E346" s="63" t="s">
        <v>830</v>
      </c>
      <c r="F346" s="63" t="s">
        <v>26</v>
      </c>
      <c r="G346" s="63" t="s">
        <v>27</v>
      </c>
      <c r="H346" s="63">
        <v>84.25</v>
      </c>
      <c r="I346" s="63">
        <f>H346/89.29*100</f>
        <v>94.355470937394998</v>
      </c>
      <c r="J346" s="63" t="s">
        <v>34</v>
      </c>
      <c r="K346" s="64"/>
      <c r="L346" s="63"/>
      <c r="M346" s="63">
        <v>0</v>
      </c>
      <c r="N346" s="65">
        <f t="shared" si="23"/>
        <v>0</v>
      </c>
      <c r="O346" s="64" t="s">
        <v>955</v>
      </c>
      <c r="P346" s="63">
        <v>4</v>
      </c>
      <c r="Q346" s="64" t="s">
        <v>956</v>
      </c>
      <c r="R346" s="63">
        <v>85</v>
      </c>
      <c r="S346" s="65">
        <f>R346/89*100</f>
        <v>95.50561797752809</v>
      </c>
      <c r="T346" s="63"/>
      <c r="U346" s="65">
        <f t="shared" si="24"/>
        <v>88.537593701120315</v>
      </c>
      <c r="V346" s="63">
        <v>47</v>
      </c>
      <c r="W346" s="12"/>
    </row>
    <row r="347" spans="1:23" ht="14.25" customHeight="1" x14ac:dyDescent="0.25">
      <c r="A347" s="63" t="s">
        <v>76</v>
      </c>
      <c r="B347" s="63"/>
      <c r="C347" s="63">
        <v>21716183</v>
      </c>
      <c r="D347" s="63" t="s">
        <v>957</v>
      </c>
      <c r="E347" s="63" t="s">
        <v>830</v>
      </c>
      <c r="F347" s="63" t="s">
        <v>26</v>
      </c>
      <c r="G347" s="63" t="s">
        <v>27</v>
      </c>
      <c r="H347" s="63">
        <v>84.47</v>
      </c>
      <c r="I347" s="63">
        <f>H347/87.89*100</f>
        <v>96.108772329047682</v>
      </c>
      <c r="J347" s="63" t="s">
        <v>34</v>
      </c>
      <c r="K347" s="64"/>
      <c r="L347" s="63"/>
      <c r="M347" s="63">
        <v>0</v>
      </c>
      <c r="N347" s="65">
        <f t="shared" si="23"/>
        <v>0</v>
      </c>
      <c r="O347" s="64" t="s">
        <v>740</v>
      </c>
      <c r="P347" s="63">
        <v>3</v>
      </c>
      <c r="Q347" s="64" t="s">
        <v>958</v>
      </c>
      <c r="R347" s="63">
        <v>82</v>
      </c>
      <c r="S347" s="68">
        <f>R347/90*100</f>
        <v>91.111111111111114</v>
      </c>
      <c r="T347" s="63"/>
      <c r="U347" s="65">
        <f t="shared" si="24"/>
        <v>88.526140630333373</v>
      </c>
      <c r="V347" s="63">
        <v>48</v>
      </c>
      <c r="W347" s="12"/>
    </row>
    <row r="348" spans="1:23" ht="14.25" customHeight="1" x14ac:dyDescent="0.25">
      <c r="A348" s="63" t="s">
        <v>32</v>
      </c>
      <c r="B348" s="63"/>
      <c r="C348" s="63" t="s">
        <v>959</v>
      </c>
      <c r="D348" s="63" t="s">
        <v>960</v>
      </c>
      <c r="E348" s="63" t="s">
        <v>830</v>
      </c>
      <c r="F348" s="63" t="s">
        <v>26</v>
      </c>
      <c r="G348" s="63" t="s">
        <v>27</v>
      </c>
      <c r="H348" s="63">
        <v>84.32</v>
      </c>
      <c r="I348" s="63">
        <f>H348/89.29*100</f>
        <v>94.433867174375621</v>
      </c>
      <c r="J348" s="63" t="s">
        <v>34</v>
      </c>
      <c r="K348" s="64" t="s">
        <v>961</v>
      </c>
      <c r="L348" s="63"/>
      <c r="M348" s="63">
        <f>1.168*2</f>
        <v>2.3359999999999999</v>
      </c>
      <c r="N348" s="65">
        <f t="shared" si="23"/>
        <v>8.0551724137931036</v>
      </c>
      <c r="O348" s="64" t="s">
        <v>962</v>
      </c>
      <c r="P348" s="63">
        <v>2</v>
      </c>
      <c r="Q348" s="64" t="s">
        <v>47</v>
      </c>
      <c r="R348" s="63">
        <v>85</v>
      </c>
      <c r="S348" s="65">
        <f>R348/89*100</f>
        <v>95.50561797752809</v>
      </c>
      <c r="T348" s="63"/>
      <c r="U348" s="65">
        <f t="shared" si="24"/>
        <v>88.495229687696408</v>
      </c>
      <c r="V348" s="63">
        <v>49</v>
      </c>
      <c r="W348" s="12"/>
    </row>
    <row r="349" spans="1:23" ht="14.25" customHeight="1" x14ac:dyDescent="0.25">
      <c r="A349" s="63" t="s">
        <v>22</v>
      </c>
      <c r="B349" s="63"/>
      <c r="C349" s="63">
        <v>21716193</v>
      </c>
      <c r="D349" s="63" t="s">
        <v>963</v>
      </c>
      <c r="E349" s="63" t="s">
        <v>830</v>
      </c>
      <c r="F349" s="63" t="s">
        <v>26</v>
      </c>
      <c r="G349" s="63" t="s">
        <v>27</v>
      </c>
      <c r="H349" s="63">
        <v>84.4</v>
      </c>
      <c r="I349" s="63">
        <f>H349/88.2*100</f>
        <v>95.691609977324262</v>
      </c>
      <c r="J349" s="63" t="s">
        <v>34</v>
      </c>
      <c r="K349" s="64"/>
      <c r="L349" s="63"/>
      <c r="M349" s="63">
        <v>0</v>
      </c>
      <c r="N349" s="65">
        <f t="shared" si="23"/>
        <v>0</v>
      </c>
      <c r="O349" s="64" t="s">
        <v>897</v>
      </c>
      <c r="P349" s="63">
        <v>1</v>
      </c>
      <c r="Q349" s="64" t="s">
        <v>964</v>
      </c>
      <c r="R349" s="63">
        <v>85</v>
      </c>
      <c r="S349" s="66">
        <f>R349/90*100</f>
        <v>94.444444444444443</v>
      </c>
      <c r="T349" s="63" t="s">
        <v>40</v>
      </c>
      <c r="U349" s="65">
        <f t="shared" si="24"/>
        <v>88.484126984126974</v>
      </c>
      <c r="V349" s="63">
        <v>50</v>
      </c>
      <c r="W349" s="12"/>
    </row>
    <row r="350" spans="1:23" ht="14.25" customHeight="1" x14ac:dyDescent="0.25">
      <c r="A350" s="63" t="s">
        <v>178</v>
      </c>
      <c r="B350" s="63"/>
      <c r="C350" s="70">
        <v>21716209</v>
      </c>
      <c r="D350" s="63" t="s">
        <v>965</v>
      </c>
      <c r="E350" s="63" t="s">
        <v>830</v>
      </c>
      <c r="F350" s="63" t="s">
        <v>26</v>
      </c>
      <c r="G350" s="63" t="s">
        <v>27</v>
      </c>
      <c r="H350" s="63">
        <v>82.87</v>
      </c>
      <c r="I350" s="63">
        <f>H350/90.56*100</f>
        <v>91.508392226148416</v>
      </c>
      <c r="J350" s="63" t="s">
        <v>34</v>
      </c>
      <c r="K350" s="64"/>
      <c r="L350" s="63"/>
      <c r="M350" s="63">
        <v>0</v>
      </c>
      <c r="N350" s="65">
        <f t="shared" si="23"/>
        <v>0</v>
      </c>
      <c r="O350" s="64" t="s">
        <v>966</v>
      </c>
      <c r="P350" s="63">
        <v>10</v>
      </c>
      <c r="Q350" s="64" t="s">
        <v>967</v>
      </c>
      <c r="R350" s="63">
        <v>87</v>
      </c>
      <c r="S350" s="66">
        <f>R350/90*100</f>
        <v>96.666666666666671</v>
      </c>
      <c r="T350" s="63" t="s">
        <v>1008</v>
      </c>
      <c r="U350" s="65">
        <f t="shared" si="24"/>
        <v>88.305874558303884</v>
      </c>
      <c r="V350" s="63">
        <v>51</v>
      </c>
      <c r="W350" s="20"/>
    </row>
    <row r="351" spans="1:23" ht="14.25" customHeight="1" x14ac:dyDescent="0.25">
      <c r="A351" s="63" t="s">
        <v>178</v>
      </c>
      <c r="B351" s="63"/>
      <c r="C351" s="70">
        <v>21716206</v>
      </c>
      <c r="D351" s="63" t="s">
        <v>968</v>
      </c>
      <c r="E351" s="63" t="s">
        <v>830</v>
      </c>
      <c r="F351" s="63" t="s">
        <v>26</v>
      </c>
      <c r="G351" s="63" t="s">
        <v>27</v>
      </c>
      <c r="H351" s="63">
        <v>86.24</v>
      </c>
      <c r="I351" s="63">
        <f>H351/90.56*100</f>
        <v>95.229681978798581</v>
      </c>
      <c r="J351" s="63" t="s">
        <v>34</v>
      </c>
      <c r="K351" s="64"/>
      <c r="L351" s="63"/>
      <c r="M351" s="63">
        <v>0</v>
      </c>
      <c r="N351" s="65">
        <f t="shared" si="23"/>
        <v>0</v>
      </c>
      <c r="O351" s="64"/>
      <c r="P351" s="63">
        <v>0</v>
      </c>
      <c r="Q351" s="64" t="s">
        <v>969</v>
      </c>
      <c r="R351" s="63">
        <v>86</v>
      </c>
      <c r="S351" s="66">
        <f>R351/90*100</f>
        <v>95.555555555555557</v>
      </c>
      <c r="T351" s="63"/>
      <c r="U351" s="65">
        <f t="shared" si="24"/>
        <v>88.160777385159008</v>
      </c>
      <c r="V351" s="63">
        <v>52</v>
      </c>
      <c r="W351" s="12"/>
    </row>
    <row r="352" spans="1:23" ht="14.25" customHeight="1" x14ac:dyDescent="0.25">
      <c r="A352" s="63" t="s">
        <v>73</v>
      </c>
      <c r="B352" s="63"/>
      <c r="C352" s="63">
        <v>21716155</v>
      </c>
      <c r="D352" s="63" t="s">
        <v>970</v>
      </c>
      <c r="E352" s="63" t="s">
        <v>830</v>
      </c>
      <c r="F352" s="63" t="s">
        <v>26</v>
      </c>
      <c r="G352" s="63" t="s">
        <v>27</v>
      </c>
      <c r="H352" s="63">
        <v>82.54</v>
      </c>
      <c r="I352" s="63">
        <f>H352/88.34*100</f>
        <v>93.43445777677158</v>
      </c>
      <c r="J352" s="63" t="s">
        <v>34</v>
      </c>
      <c r="K352" s="64"/>
      <c r="L352" s="63"/>
      <c r="M352" s="63">
        <v>0</v>
      </c>
      <c r="N352" s="65">
        <f t="shared" si="23"/>
        <v>0</v>
      </c>
      <c r="O352" s="64" t="s">
        <v>971</v>
      </c>
      <c r="P352" s="63">
        <v>6</v>
      </c>
      <c r="Q352" s="64"/>
      <c r="R352" s="63">
        <v>85</v>
      </c>
      <c r="S352" s="66">
        <f>(R352/90)*100</f>
        <v>94.444444444444443</v>
      </c>
      <c r="T352" s="63"/>
      <c r="U352" s="65">
        <f t="shared" si="24"/>
        <v>88.154120443740098</v>
      </c>
      <c r="V352" s="63">
        <v>53</v>
      </c>
      <c r="W352" s="20"/>
    </row>
    <row r="353" spans="1:23" ht="14.25" customHeight="1" x14ac:dyDescent="0.25">
      <c r="A353" s="63" t="s">
        <v>59</v>
      </c>
      <c r="B353" s="63"/>
      <c r="C353" s="63">
        <v>21716170</v>
      </c>
      <c r="D353" s="63" t="s">
        <v>972</v>
      </c>
      <c r="E353" s="63" t="s">
        <v>830</v>
      </c>
      <c r="F353" s="63" t="s">
        <v>26</v>
      </c>
      <c r="G353" s="63" t="s">
        <v>27</v>
      </c>
      <c r="H353" s="63">
        <v>84.3</v>
      </c>
      <c r="I353" s="63">
        <f>H353/90.15*100</f>
        <v>93.510815307820295</v>
      </c>
      <c r="J353" s="63" t="s">
        <v>34</v>
      </c>
      <c r="K353" s="64"/>
      <c r="L353" s="63"/>
      <c r="M353" s="63">
        <v>0</v>
      </c>
      <c r="N353" s="65">
        <f t="shared" si="23"/>
        <v>0</v>
      </c>
      <c r="O353" s="64" t="s">
        <v>519</v>
      </c>
      <c r="P353" s="63"/>
      <c r="Q353" s="64"/>
      <c r="R353" s="63">
        <v>90</v>
      </c>
      <c r="S353" s="66">
        <f t="shared" ref="S353:S360" si="26">R353/90*100</f>
        <v>100</v>
      </c>
      <c r="T353" s="63"/>
      <c r="U353" s="65">
        <f t="shared" si="24"/>
        <v>87.957570715474205</v>
      </c>
      <c r="V353" s="63">
        <v>54</v>
      </c>
      <c r="W353" s="12"/>
    </row>
    <row r="354" spans="1:23" ht="14.25" customHeight="1" x14ac:dyDescent="0.25">
      <c r="A354" s="63" t="s">
        <v>81</v>
      </c>
      <c r="B354" s="63"/>
      <c r="C354" s="63">
        <v>21716139</v>
      </c>
      <c r="D354" s="63" t="s">
        <v>973</v>
      </c>
      <c r="E354" s="63" t="s">
        <v>830</v>
      </c>
      <c r="F354" s="63" t="s">
        <v>26</v>
      </c>
      <c r="G354" s="63" t="s">
        <v>27</v>
      </c>
      <c r="H354" s="63">
        <v>84.86</v>
      </c>
      <c r="I354" s="63">
        <f>H354/88.57*100</f>
        <v>95.811222761657461</v>
      </c>
      <c r="J354" s="63" t="s">
        <v>34</v>
      </c>
      <c r="K354" s="64"/>
      <c r="L354" s="63"/>
      <c r="M354" s="63">
        <v>0</v>
      </c>
      <c r="N354" s="65">
        <f t="shared" si="23"/>
        <v>0</v>
      </c>
      <c r="O354" s="64"/>
      <c r="P354" s="63"/>
      <c r="Q354" s="64" t="s">
        <v>974</v>
      </c>
      <c r="R354" s="70" t="s">
        <v>946</v>
      </c>
      <c r="S354" s="68">
        <f t="shared" si="26"/>
        <v>91.111111111111114</v>
      </c>
      <c r="T354" s="63" t="s">
        <v>40</v>
      </c>
      <c r="U354" s="65">
        <f t="shared" si="24"/>
        <v>87.567855933160217</v>
      </c>
      <c r="V354" s="63">
        <v>55</v>
      </c>
      <c r="W354" s="12"/>
    </row>
    <row r="355" spans="1:23" ht="14.25" customHeight="1" x14ac:dyDescent="0.25">
      <c r="A355" s="63" t="s">
        <v>67</v>
      </c>
      <c r="B355" s="63"/>
      <c r="C355" s="63">
        <v>21716124</v>
      </c>
      <c r="D355" s="63" t="s">
        <v>975</v>
      </c>
      <c r="E355" s="63" t="s">
        <v>830</v>
      </c>
      <c r="F355" s="63" t="s">
        <v>26</v>
      </c>
      <c r="G355" s="63" t="s">
        <v>27</v>
      </c>
      <c r="H355" s="63">
        <v>83.74</v>
      </c>
      <c r="I355" s="63">
        <f>H355/88.5*100</f>
        <v>94.621468926553661</v>
      </c>
      <c r="J355" s="63" t="s">
        <v>34</v>
      </c>
      <c r="K355" s="71"/>
      <c r="L355" s="63"/>
      <c r="M355" s="63">
        <v>0</v>
      </c>
      <c r="N355" s="65">
        <f t="shared" si="23"/>
        <v>0</v>
      </c>
      <c r="O355" s="64"/>
      <c r="P355" s="63"/>
      <c r="Q355" s="64" t="s">
        <v>976</v>
      </c>
      <c r="R355" s="63">
        <v>85</v>
      </c>
      <c r="S355" s="68">
        <f t="shared" si="26"/>
        <v>94.444444444444443</v>
      </c>
      <c r="T355" s="63"/>
      <c r="U355" s="65">
        <f t="shared" si="24"/>
        <v>87.485028248587554</v>
      </c>
      <c r="V355" s="63">
        <v>56</v>
      </c>
      <c r="W355" s="12"/>
    </row>
    <row r="356" spans="1:23" ht="14.25" customHeight="1" x14ac:dyDescent="0.25">
      <c r="A356" s="63" t="s">
        <v>178</v>
      </c>
      <c r="B356" s="63"/>
      <c r="C356" s="70">
        <v>21716208</v>
      </c>
      <c r="D356" s="63" t="s">
        <v>977</v>
      </c>
      <c r="E356" s="63" t="s">
        <v>830</v>
      </c>
      <c r="F356" s="63" t="s">
        <v>26</v>
      </c>
      <c r="G356" s="63" t="s">
        <v>27</v>
      </c>
      <c r="H356" s="63">
        <v>84</v>
      </c>
      <c r="I356" s="63">
        <f>H356/90.56*100</f>
        <v>92.75618374558303</v>
      </c>
      <c r="J356" s="63" t="s">
        <v>34</v>
      </c>
      <c r="K356" s="64"/>
      <c r="L356" s="63"/>
      <c r="M356" s="63">
        <v>0</v>
      </c>
      <c r="N356" s="65">
        <f t="shared" si="23"/>
        <v>0</v>
      </c>
      <c r="O356" s="64"/>
      <c r="P356" s="63">
        <v>0</v>
      </c>
      <c r="Q356" s="64" t="s">
        <v>978</v>
      </c>
      <c r="R356" s="63">
        <v>88</v>
      </c>
      <c r="S356" s="66">
        <f t="shared" si="26"/>
        <v>97.777777777777771</v>
      </c>
      <c r="T356" s="63"/>
      <c r="U356" s="65">
        <f t="shared" si="24"/>
        <v>86.929328621908112</v>
      </c>
      <c r="V356" s="63">
        <v>57</v>
      </c>
      <c r="W356" s="12"/>
    </row>
    <row r="357" spans="1:23" ht="14.25" customHeight="1" x14ac:dyDescent="0.25">
      <c r="A357" s="63" t="s">
        <v>67</v>
      </c>
      <c r="B357" s="63"/>
      <c r="C357" s="63">
        <v>21716134</v>
      </c>
      <c r="D357" s="63" t="s">
        <v>979</v>
      </c>
      <c r="E357" s="63" t="s">
        <v>830</v>
      </c>
      <c r="F357" s="63" t="s">
        <v>26</v>
      </c>
      <c r="G357" s="63" t="s">
        <v>27</v>
      </c>
      <c r="H357" s="63">
        <v>84.4</v>
      </c>
      <c r="I357" s="63">
        <f>H357/88.5*100</f>
        <v>95.367231638418076</v>
      </c>
      <c r="J357" s="63" t="s">
        <v>34</v>
      </c>
      <c r="K357" s="64"/>
      <c r="L357" s="63"/>
      <c r="M357" s="63">
        <v>0</v>
      </c>
      <c r="N357" s="65">
        <f t="shared" si="23"/>
        <v>0</v>
      </c>
      <c r="O357" s="64"/>
      <c r="P357" s="63"/>
      <c r="Q357" s="64" t="s">
        <v>980</v>
      </c>
      <c r="R357" s="63">
        <v>80</v>
      </c>
      <c r="S357" s="68">
        <f t="shared" si="26"/>
        <v>88.888888888888886</v>
      </c>
      <c r="T357" s="63"/>
      <c r="U357" s="65">
        <f t="shared" si="24"/>
        <v>86.75706214689265</v>
      </c>
      <c r="V357" s="63">
        <v>58</v>
      </c>
      <c r="W357" s="12"/>
    </row>
    <row r="358" spans="1:23" ht="14.25" customHeight="1" x14ac:dyDescent="0.25">
      <c r="A358" s="63" t="s">
        <v>178</v>
      </c>
      <c r="B358" s="63"/>
      <c r="C358" s="70">
        <v>21716204</v>
      </c>
      <c r="D358" s="63" t="s">
        <v>981</v>
      </c>
      <c r="E358" s="63" t="s">
        <v>830</v>
      </c>
      <c r="F358" s="63" t="s">
        <v>26</v>
      </c>
      <c r="G358" s="63" t="s">
        <v>27</v>
      </c>
      <c r="H358" s="63">
        <v>86.18</v>
      </c>
      <c r="I358" s="63">
        <f>H358/90.56*100</f>
        <v>95.163427561837466</v>
      </c>
      <c r="J358" s="63" t="s">
        <v>34</v>
      </c>
      <c r="K358" s="64"/>
      <c r="L358" s="63"/>
      <c r="M358" s="63">
        <v>0</v>
      </c>
      <c r="N358" s="65">
        <f t="shared" si="23"/>
        <v>0</v>
      </c>
      <c r="O358" s="64"/>
      <c r="P358" s="63">
        <v>0</v>
      </c>
      <c r="Q358" s="64"/>
      <c r="R358" s="63">
        <v>80</v>
      </c>
      <c r="S358" s="66">
        <f t="shared" si="26"/>
        <v>88.888888888888886</v>
      </c>
      <c r="T358" s="63"/>
      <c r="U358" s="65">
        <f t="shared" si="24"/>
        <v>86.614399293286226</v>
      </c>
      <c r="V358" s="63">
        <v>59</v>
      </c>
      <c r="W358" s="12"/>
    </row>
    <row r="359" spans="1:23" ht="14.25" customHeight="1" x14ac:dyDescent="0.25">
      <c r="A359" s="63" t="s">
        <v>178</v>
      </c>
      <c r="B359" s="63"/>
      <c r="C359" s="70">
        <v>21716214</v>
      </c>
      <c r="D359" s="63" t="s">
        <v>982</v>
      </c>
      <c r="E359" s="63" t="s">
        <v>830</v>
      </c>
      <c r="F359" s="63" t="s">
        <v>26</v>
      </c>
      <c r="G359" s="63" t="s">
        <v>27</v>
      </c>
      <c r="H359" s="63">
        <v>84.94</v>
      </c>
      <c r="I359" s="63">
        <f>H359/90.56*100</f>
        <v>93.794169611307424</v>
      </c>
      <c r="J359" s="63" t="s">
        <v>34</v>
      </c>
      <c r="K359" s="64"/>
      <c r="L359" s="63"/>
      <c r="M359" s="63">
        <v>0</v>
      </c>
      <c r="N359" s="65">
        <f t="shared" si="23"/>
        <v>0</v>
      </c>
      <c r="O359" s="64"/>
      <c r="P359" s="63">
        <v>0</v>
      </c>
      <c r="Q359" s="64" t="s">
        <v>983</v>
      </c>
      <c r="R359" s="63">
        <v>83</v>
      </c>
      <c r="S359" s="66">
        <f t="shared" si="26"/>
        <v>92.222222222222229</v>
      </c>
      <c r="T359" s="63"/>
      <c r="U359" s="65">
        <f t="shared" si="24"/>
        <v>86.405918727915193</v>
      </c>
      <c r="V359" s="63">
        <v>60</v>
      </c>
      <c r="W359" s="12"/>
    </row>
    <row r="360" spans="1:23" ht="14.25" customHeight="1" x14ac:dyDescent="0.25">
      <c r="A360" s="63" t="s">
        <v>178</v>
      </c>
      <c r="B360" s="63"/>
      <c r="C360" s="70">
        <v>21716205</v>
      </c>
      <c r="D360" s="63" t="s">
        <v>984</v>
      </c>
      <c r="E360" s="63" t="s">
        <v>830</v>
      </c>
      <c r="F360" s="63" t="s">
        <v>26</v>
      </c>
      <c r="G360" s="63" t="s">
        <v>27</v>
      </c>
      <c r="H360" s="63">
        <v>81.41</v>
      </c>
      <c r="I360" s="63">
        <f>H360/90.56*100</f>
        <v>89.896201413427562</v>
      </c>
      <c r="J360" s="63" t="s">
        <v>34</v>
      </c>
      <c r="K360" s="64"/>
      <c r="L360" s="63"/>
      <c r="M360" s="63">
        <v>0</v>
      </c>
      <c r="N360" s="65">
        <f t="shared" si="23"/>
        <v>0</v>
      </c>
      <c r="O360" s="64" t="s">
        <v>985</v>
      </c>
      <c r="P360" s="63">
        <v>5</v>
      </c>
      <c r="Q360" s="64" t="s">
        <v>986</v>
      </c>
      <c r="R360" s="63">
        <v>88</v>
      </c>
      <c r="S360" s="66">
        <f t="shared" si="26"/>
        <v>97.777777777777771</v>
      </c>
      <c r="T360" s="63"/>
      <c r="U360" s="65">
        <f t="shared" si="24"/>
        <v>86.177340989399283</v>
      </c>
      <c r="V360" s="63">
        <v>61</v>
      </c>
      <c r="W360" s="12"/>
    </row>
    <row r="361" spans="1:23" ht="14.25" customHeight="1" x14ac:dyDescent="0.25">
      <c r="A361" s="63" t="s">
        <v>32</v>
      </c>
      <c r="B361" s="63"/>
      <c r="C361" s="63">
        <v>21716171</v>
      </c>
      <c r="D361" s="63" t="s">
        <v>987</v>
      </c>
      <c r="E361" s="63" t="s">
        <v>830</v>
      </c>
      <c r="F361" s="63" t="s">
        <v>26</v>
      </c>
      <c r="G361" s="63" t="s">
        <v>27</v>
      </c>
      <c r="H361" s="63">
        <v>81.709999999999994</v>
      </c>
      <c r="I361" s="63">
        <f>H361/89.29*100</f>
        <v>91.510807481240889</v>
      </c>
      <c r="J361" s="63" t="s">
        <v>34</v>
      </c>
      <c r="K361" s="64"/>
      <c r="L361" s="63"/>
      <c r="M361" s="63">
        <v>0</v>
      </c>
      <c r="N361" s="65">
        <f t="shared" si="23"/>
        <v>0</v>
      </c>
      <c r="O361" s="64" t="s">
        <v>988</v>
      </c>
      <c r="P361" s="63">
        <v>2</v>
      </c>
      <c r="Q361" s="64" t="s">
        <v>989</v>
      </c>
      <c r="R361" s="63">
        <v>85</v>
      </c>
      <c r="S361" s="65">
        <f>R361/89*100</f>
        <v>95.50561797752809</v>
      </c>
      <c r="T361" s="63"/>
      <c r="U361" s="65">
        <f t="shared" si="24"/>
        <v>86.046329281812433</v>
      </c>
      <c r="V361" s="63">
        <v>62</v>
      </c>
      <c r="W361" s="12"/>
    </row>
    <row r="362" spans="1:23" ht="14.25" customHeight="1" x14ac:dyDescent="0.25">
      <c r="A362" s="63" t="s">
        <v>76</v>
      </c>
      <c r="B362" s="63"/>
      <c r="C362" s="63">
        <v>21716182</v>
      </c>
      <c r="D362" s="63" t="s">
        <v>990</v>
      </c>
      <c r="E362" s="63" t="s">
        <v>830</v>
      </c>
      <c r="F362" s="63" t="s">
        <v>26</v>
      </c>
      <c r="G362" s="63" t="s">
        <v>27</v>
      </c>
      <c r="H362" s="63">
        <v>80.59</v>
      </c>
      <c r="I362" s="63">
        <f>H362/87.89*100</f>
        <v>91.694163158493581</v>
      </c>
      <c r="J362" s="63" t="s">
        <v>34</v>
      </c>
      <c r="K362" s="64"/>
      <c r="L362" s="63"/>
      <c r="M362" s="63">
        <v>0</v>
      </c>
      <c r="N362" s="65">
        <f t="shared" si="23"/>
        <v>0</v>
      </c>
      <c r="O362" s="64"/>
      <c r="P362" s="63"/>
      <c r="Q362" s="64" t="s">
        <v>991</v>
      </c>
      <c r="R362" s="63">
        <v>85</v>
      </c>
      <c r="S362" s="68">
        <f>R362/90*100</f>
        <v>94.444444444444443</v>
      </c>
      <c r="T362" s="63"/>
      <c r="U362" s="65">
        <f t="shared" si="24"/>
        <v>85.435914210945498</v>
      </c>
      <c r="V362" s="63">
        <v>63</v>
      </c>
      <c r="W362" s="12"/>
    </row>
    <row r="363" spans="1:23" ht="14.25" customHeight="1" x14ac:dyDescent="0.25">
      <c r="A363" s="63" t="s">
        <v>178</v>
      </c>
      <c r="B363" s="63"/>
      <c r="C363" s="70">
        <v>21716197</v>
      </c>
      <c r="D363" s="63" t="s">
        <v>992</v>
      </c>
      <c r="E363" s="63" t="s">
        <v>830</v>
      </c>
      <c r="F363" s="63" t="s">
        <v>26</v>
      </c>
      <c r="G363" s="63" t="s">
        <v>27</v>
      </c>
      <c r="H363" s="63">
        <v>83.56</v>
      </c>
      <c r="I363" s="63">
        <f>H363/90.56*100</f>
        <v>92.270318021201419</v>
      </c>
      <c r="J363" s="63" t="s">
        <v>34</v>
      </c>
      <c r="K363" s="64"/>
      <c r="L363" s="63"/>
      <c r="M363" s="63">
        <v>0</v>
      </c>
      <c r="N363" s="65">
        <f t="shared" si="23"/>
        <v>0</v>
      </c>
      <c r="O363" s="64"/>
      <c r="P363" s="63">
        <v>0</v>
      </c>
      <c r="Q363" s="64"/>
      <c r="R363" s="63">
        <v>80</v>
      </c>
      <c r="S363" s="66">
        <f>R363/90*100</f>
        <v>88.888888888888886</v>
      </c>
      <c r="T363" s="63"/>
      <c r="U363" s="65">
        <f t="shared" si="24"/>
        <v>84.589222614840992</v>
      </c>
      <c r="V363" s="63">
        <v>64</v>
      </c>
      <c r="W363" s="12"/>
    </row>
  </sheetData>
  <phoneticPr fontId="2" type="noConversion"/>
  <conditionalFormatting sqref="D1:D363">
    <cfRule type="duplicateValues" dxfId="0" priority="1" stopIfTrue="1"/>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2018-10-23T10:48:17Z</dcterms:modified>
</cp:coreProperties>
</file>